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iego\Mis Documentos 3-10-20\A Back up UNLAM 20-7-18\"/>
    </mc:Choice>
  </mc:AlternateContent>
  <bookViews>
    <workbookView xWindow="0" yWindow="0" windowWidth="24000" windowHeight="9435" tabRatio="707"/>
  </bookViews>
  <sheets>
    <sheet name="1-COEF REALES" sheetId="3" r:id="rId1"/>
    <sheet name="2-REGISTRACIONES" sheetId="4" r:id="rId2"/>
    <sheet name="3-CMV HIST" sheetId="10" r:id="rId3"/>
    <sheet name="4-DETALLExMES" sheetId="19" r:id="rId4"/>
    <sheet name="RECPAM POS IVA" sheetId="12" state="hidden" r:id="rId5"/>
    <sheet name="NETO CAJA IVA" sheetId="14" state="hidden" r:id="rId6"/>
    <sheet name="NETO CAJA IVA 2" sheetId="15" state="hidden" r:id="rId7"/>
    <sheet name="NETO CAJA IVA 3" sheetId="16" state="hidden" r:id="rId8"/>
    <sheet name="5-BALANCES Y CALCULOS" sheetId="20" r:id="rId9"/>
    <sheet name="6-AJxINFL IMPOSITIVO" sheetId="22" r:id="rId10"/>
    <sheet name="7-CLASIFIC CTAS RDOS" sheetId="24" r:id="rId11"/>
    <sheet name="8-EVEGyD HIST" sheetId="32" r:id="rId12"/>
    <sheet name="9-EVEGyD AJUST" sheetId="33" r:id="rId13"/>
    <sheet name="10-EVEGyD IMPOSIT AJ" sheetId="34" r:id="rId14"/>
    <sheet name="11-COMPARATIVOx3" sheetId="35" r:id="rId15"/>
    <sheet name="12-GRAFICOSx3" sheetId="36" r:id="rId16"/>
  </sheets>
  <definedNames>
    <definedName name="_xlnm.Print_Area" localSheetId="13">'10-EVEGyD IMPOSIT AJ'!$A$59:$F$85</definedName>
    <definedName name="_xlnm.Print_Area" localSheetId="15">'12-GRAFICOSx3'!$B$1:$I$57</definedName>
    <definedName name="_xlnm.Print_Area" localSheetId="8">'5-BALANCES Y CALCULOS'!$E$206:$M$315</definedName>
    <definedName name="_xlnm.Print_Area" localSheetId="11">'8-EVEGyD HIST'!$A$59:$F$86</definedName>
    <definedName name="_xlnm.Print_Area" localSheetId="12">'9-EVEGyD AJUST'!$A$60:$F$86</definedName>
  </definedNames>
  <calcPr calcId="152511"/>
</workbook>
</file>

<file path=xl/calcChain.xml><?xml version="1.0" encoding="utf-8"?>
<calcChain xmlns="http://schemas.openxmlformats.org/spreadsheetml/2006/main">
  <c r="D133" i="4" l="1"/>
  <c r="E133" i="4"/>
  <c r="K42" i="19" s="1"/>
  <c r="F133" i="4"/>
  <c r="N42" i="19" s="1"/>
  <c r="G133" i="4"/>
  <c r="F222" i="20" s="1"/>
  <c r="H133" i="4"/>
  <c r="I133" i="4"/>
  <c r="F224" i="20" s="1"/>
  <c r="J133" i="4"/>
  <c r="Z42" i="19" s="1"/>
  <c r="K133" i="4"/>
  <c r="L133" i="4"/>
  <c r="M133" i="4"/>
  <c r="F228" i="20" s="1"/>
  <c r="N133" i="4"/>
  <c r="C133" i="4"/>
  <c r="D129" i="4"/>
  <c r="F149" i="20" s="1"/>
  <c r="E129" i="4"/>
  <c r="K37" i="19" s="1"/>
  <c r="F129" i="4"/>
  <c r="G129" i="4"/>
  <c r="F152" i="20" s="1"/>
  <c r="H129" i="4"/>
  <c r="F153" i="20" s="1"/>
  <c r="I129" i="4"/>
  <c r="W37" i="19" s="1"/>
  <c r="J129" i="4"/>
  <c r="K129" i="4"/>
  <c r="F156" i="20" s="1"/>
  <c r="L129" i="4"/>
  <c r="F157" i="20" s="1"/>
  <c r="M129" i="4"/>
  <c r="F158" i="20" s="1"/>
  <c r="N129" i="4"/>
  <c r="C129" i="4"/>
  <c r="F148" i="20" s="1"/>
  <c r="D125" i="4"/>
  <c r="F104" i="20" s="1"/>
  <c r="E125" i="4"/>
  <c r="F105" i="20" s="1"/>
  <c r="F125" i="4"/>
  <c r="G125" i="4"/>
  <c r="F107" i="20" s="1"/>
  <c r="H125" i="4"/>
  <c r="F108" i="20" s="1"/>
  <c r="I125" i="4"/>
  <c r="F109" i="20" s="1"/>
  <c r="J125" i="4"/>
  <c r="K125" i="4"/>
  <c r="AC33" i="19" s="1"/>
  <c r="L125" i="4"/>
  <c r="F112" i="20" s="1"/>
  <c r="M125" i="4"/>
  <c r="F113" i="20" s="1"/>
  <c r="N125" i="4"/>
  <c r="C125" i="4"/>
  <c r="D121" i="4"/>
  <c r="E121" i="4"/>
  <c r="K38" i="19" s="1"/>
  <c r="F121" i="4"/>
  <c r="F165" i="20" s="1"/>
  <c r="G121" i="4"/>
  <c r="Q38" i="19" s="1"/>
  <c r="H121" i="4"/>
  <c r="I121" i="4"/>
  <c r="W38" i="19" s="1"/>
  <c r="J121" i="4"/>
  <c r="F169" i="20" s="1"/>
  <c r="K121" i="4"/>
  <c r="F170" i="20" s="1"/>
  <c r="L121" i="4"/>
  <c r="M121" i="4"/>
  <c r="AI38" i="19" s="1"/>
  <c r="N121" i="4"/>
  <c r="F173" i="20" s="1"/>
  <c r="C121" i="4"/>
  <c r="F162" i="20" s="1"/>
  <c r="D117" i="4"/>
  <c r="F61" i="20" s="1"/>
  <c r="E117" i="4"/>
  <c r="F62" i="20" s="1"/>
  <c r="F117" i="4"/>
  <c r="G117" i="4"/>
  <c r="Q31" i="19" s="1"/>
  <c r="H117" i="4"/>
  <c r="F65" i="20" s="1"/>
  <c r="I117" i="4"/>
  <c r="F66" i="20" s="1"/>
  <c r="J117" i="4"/>
  <c r="K117" i="4"/>
  <c r="AC31" i="19" s="1"/>
  <c r="L117" i="4"/>
  <c r="F69" i="20" s="1"/>
  <c r="M117" i="4"/>
  <c r="F70" i="20" s="1"/>
  <c r="N117" i="4"/>
  <c r="C117" i="4"/>
  <c r="E31" i="19" s="1"/>
  <c r="D113" i="4"/>
  <c r="F303" i="20" s="1"/>
  <c r="E113" i="4"/>
  <c r="F113" i="4"/>
  <c r="G113" i="4"/>
  <c r="F306" i="20" s="1"/>
  <c r="H113" i="4"/>
  <c r="F307" i="20" s="1"/>
  <c r="I113" i="4"/>
  <c r="F308" i="20" s="1"/>
  <c r="J113" i="4"/>
  <c r="K113" i="4"/>
  <c r="AC48" i="19" s="1"/>
  <c r="L113" i="4"/>
  <c r="AF48" i="19" s="1"/>
  <c r="M113" i="4"/>
  <c r="AI48" i="19" s="1"/>
  <c r="N113" i="4"/>
  <c r="C113" i="4"/>
  <c r="E48" i="19" s="1"/>
  <c r="D107" i="4"/>
  <c r="F205" i="20" s="1"/>
  <c r="E107" i="4"/>
  <c r="F206" i="20" s="1"/>
  <c r="F107" i="4"/>
  <c r="G107" i="4"/>
  <c r="F208" i="20" s="1"/>
  <c r="H107" i="4"/>
  <c r="F209" i="20" s="1"/>
  <c r="I107" i="4"/>
  <c r="F210" i="20" s="1"/>
  <c r="J107" i="4"/>
  <c r="K107" i="4"/>
  <c r="AC41" i="19" s="1"/>
  <c r="L107" i="4"/>
  <c r="F213" i="20" s="1"/>
  <c r="M107" i="4"/>
  <c r="F214" i="20" s="1"/>
  <c r="N107" i="4"/>
  <c r="C107" i="4"/>
  <c r="D103" i="4"/>
  <c r="H36" i="19" s="1"/>
  <c r="E103" i="4"/>
  <c r="F103" i="4"/>
  <c r="G103" i="4"/>
  <c r="F138" i="20" s="1"/>
  <c r="H103" i="4"/>
  <c r="F139" i="20" s="1"/>
  <c r="I103" i="4"/>
  <c r="J103" i="4"/>
  <c r="K103" i="4"/>
  <c r="F142" i="20" s="1"/>
  <c r="L103" i="4"/>
  <c r="F143" i="20" s="1"/>
  <c r="M103" i="4"/>
  <c r="N103" i="4"/>
  <c r="C103" i="4"/>
  <c r="F134" i="20" s="1"/>
  <c r="D90" i="4"/>
  <c r="E90" i="4"/>
  <c r="F122" i="20" s="1"/>
  <c r="F90" i="4"/>
  <c r="G90" i="4"/>
  <c r="Q35" i="19" s="1"/>
  <c r="H90" i="4"/>
  <c r="I90" i="4"/>
  <c r="F126" i="20" s="1"/>
  <c r="J90" i="4"/>
  <c r="K90" i="4"/>
  <c r="AC35" i="19" s="1"/>
  <c r="L90" i="4"/>
  <c r="M90" i="4"/>
  <c r="F130" i="20" s="1"/>
  <c r="N90" i="4"/>
  <c r="F131" i="20" s="1"/>
  <c r="C90" i="4"/>
  <c r="F120" i="20" s="1"/>
  <c r="D86" i="4"/>
  <c r="E86" i="4"/>
  <c r="F86" i="4"/>
  <c r="G86" i="4"/>
  <c r="Q34" i="19" s="1"/>
  <c r="H86" i="4"/>
  <c r="T34" i="19" s="1"/>
  <c r="I86" i="4"/>
  <c r="J86" i="4"/>
  <c r="K86" i="4"/>
  <c r="AC34" i="19" s="1"/>
  <c r="L86" i="4"/>
  <c r="AF34" i="19" s="1"/>
  <c r="M86" i="4"/>
  <c r="AI34" i="19" s="1"/>
  <c r="N86" i="4"/>
  <c r="C86" i="4"/>
  <c r="E34" i="19" s="1"/>
  <c r="D82" i="4"/>
  <c r="F177" i="20" s="1"/>
  <c r="E82" i="4"/>
  <c r="F178" i="20" s="1"/>
  <c r="F82" i="4"/>
  <c r="G82" i="4"/>
  <c r="F180" i="20" s="1"/>
  <c r="H82" i="4"/>
  <c r="F181" i="20" s="1"/>
  <c r="I82" i="4"/>
  <c r="F182" i="20" s="1"/>
  <c r="J82" i="4"/>
  <c r="K82" i="4"/>
  <c r="AC39" i="19" s="1"/>
  <c r="L82" i="4"/>
  <c r="F185" i="20" s="1"/>
  <c r="M82" i="4"/>
  <c r="F186" i="20" s="1"/>
  <c r="N82" i="4"/>
  <c r="C82" i="4"/>
  <c r="E39" i="19" s="1"/>
  <c r="N81" i="4"/>
  <c r="D81" i="4"/>
  <c r="F191" i="20" s="1"/>
  <c r="E81" i="4"/>
  <c r="F81" i="4"/>
  <c r="F193" i="20" s="1"/>
  <c r="G81" i="4"/>
  <c r="H81" i="4"/>
  <c r="F195" i="20" s="1"/>
  <c r="I81" i="4"/>
  <c r="J81" i="4"/>
  <c r="Z40" i="19" s="1"/>
  <c r="K81" i="4"/>
  <c r="L81" i="4"/>
  <c r="F199" i="20" s="1"/>
  <c r="M81" i="4"/>
  <c r="C81" i="4"/>
  <c r="F190" i="20" s="1"/>
  <c r="D76" i="4"/>
  <c r="H44" i="19" s="1"/>
  <c r="E76" i="4"/>
  <c r="K44" i="19" s="1"/>
  <c r="F76" i="4"/>
  <c r="F249" i="20" s="1"/>
  <c r="G76" i="4"/>
  <c r="Q44" i="19" s="1"/>
  <c r="H76" i="4"/>
  <c r="F251" i="20" s="1"/>
  <c r="I76" i="4"/>
  <c r="J76" i="4"/>
  <c r="F253" i="20" s="1"/>
  <c r="K76" i="4"/>
  <c r="F254" i="20" s="1"/>
  <c r="L76" i="4"/>
  <c r="AF44" i="19" s="1"/>
  <c r="M76" i="4"/>
  <c r="N76" i="4"/>
  <c r="F257" i="20" s="1"/>
  <c r="C76" i="4"/>
  <c r="F246" i="20" s="1"/>
  <c r="D74" i="4"/>
  <c r="H43" i="19" s="1"/>
  <c r="E74" i="4"/>
  <c r="F234" i="20" s="1"/>
  <c r="F74" i="4"/>
  <c r="G74" i="4"/>
  <c r="F236" i="20" s="1"/>
  <c r="H74" i="4"/>
  <c r="T43" i="19" s="1"/>
  <c r="I74" i="4"/>
  <c r="F238" i="20" s="1"/>
  <c r="J74" i="4"/>
  <c r="K74" i="4"/>
  <c r="AC43" i="19" s="1"/>
  <c r="L74" i="4"/>
  <c r="M74" i="4"/>
  <c r="F242" i="20" s="1"/>
  <c r="N74" i="4"/>
  <c r="C74" i="4"/>
  <c r="E43" i="19" s="1"/>
  <c r="D70" i="4"/>
  <c r="E70" i="4"/>
  <c r="K32" i="19" s="1"/>
  <c r="F70" i="4"/>
  <c r="F92" i="20" s="1"/>
  <c r="G70" i="4"/>
  <c r="Q32" i="19" s="1"/>
  <c r="H70" i="4"/>
  <c r="I70" i="4"/>
  <c r="W32" i="19" s="1"/>
  <c r="J70" i="4"/>
  <c r="F96" i="20" s="1"/>
  <c r="K70" i="4"/>
  <c r="F97" i="20" s="1"/>
  <c r="L70" i="4"/>
  <c r="M70" i="4"/>
  <c r="F99" i="20" s="1"/>
  <c r="N70" i="4"/>
  <c r="F100" i="20" s="1"/>
  <c r="C70" i="4"/>
  <c r="F89" i="20" s="1"/>
  <c r="C11" i="4"/>
  <c r="G13" i="20" s="1"/>
  <c r="D11" i="4"/>
  <c r="G14" i="20" s="1"/>
  <c r="E11" i="4"/>
  <c r="G15" i="20" s="1"/>
  <c r="F11" i="4"/>
  <c r="G16" i="20" s="1"/>
  <c r="G11" i="4"/>
  <c r="G17" i="20" s="1"/>
  <c r="H11" i="4"/>
  <c r="I11" i="4"/>
  <c r="J11" i="4"/>
  <c r="G20" i="20" s="1"/>
  <c r="K11" i="4"/>
  <c r="G21" i="20" s="1"/>
  <c r="L11" i="4"/>
  <c r="G22" i="20" s="1"/>
  <c r="M11" i="4"/>
  <c r="N11" i="4"/>
  <c r="B11" i="4"/>
  <c r="AJ64" i="19"/>
  <c r="G48" i="35"/>
  <c r="G47" i="35"/>
  <c r="G43" i="35"/>
  <c r="G42" i="35"/>
  <c r="G38" i="35"/>
  <c r="G33" i="35"/>
  <c r="G29" i="35"/>
  <c r="G28" i="35"/>
  <c r="G26" i="35"/>
  <c r="G20" i="35"/>
  <c r="G14" i="35"/>
  <c r="G13" i="35"/>
  <c r="G8" i="35"/>
  <c r="G7" i="35"/>
  <c r="E48" i="35"/>
  <c r="E47" i="35"/>
  <c r="E43" i="35"/>
  <c r="E42" i="35"/>
  <c r="E38" i="35"/>
  <c r="E33" i="35"/>
  <c r="E29" i="35"/>
  <c r="E28" i="35"/>
  <c r="E26" i="35"/>
  <c r="E22" i="35"/>
  <c r="E20" i="35"/>
  <c r="E13" i="35"/>
  <c r="E8" i="35"/>
  <c r="E7" i="35"/>
  <c r="C48" i="35"/>
  <c r="C47" i="35"/>
  <c r="C43" i="35"/>
  <c r="C42" i="35"/>
  <c r="C38" i="35"/>
  <c r="C33" i="35"/>
  <c r="C29" i="35"/>
  <c r="C28" i="35"/>
  <c r="C26" i="35"/>
  <c r="C22" i="35"/>
  <c r="C20" i="35"/>
  <c r="C14" i="35"/>
  <c r="C13" i="35"/>
  <c r="C8" i="35"/>
  <c r="C7" i="35"/>
  <c r="B51" i="24"/>
  <c r="B19" i="24"/>
  <c r="F5" i="22"/>
  <c r="F313" i="20"/>
  <c r="F312" i="20"/>
  <c r="F309" i="20"/>
  <c r="F305" i="20"/>
  <c r="F304" i="20"/>
  <c r="F302" i="20"/>
  <c r="F256" i="20"/>
  <c r="F252" i="20"/>
  <c r="F250" i="20"/>
  <c r="F248" i="20"/>
  <c r="F243" i="20"/>
  <c r="F241" i="20"/>
  <c r="F240" i="20"/>
  <c r="F239" i="20"/>
  <c r="F237" i="20"/>
  <c r="F235" i="20"/>
  <c r="F233" i="20"/>
  <c r="F229" i="20"/>
  <c r="F227" i="20"/>
  <c r="F226" i="20"/>
  <c r="F225" i="20"/>
  <c r="F223" i="20"/>
  <c r="F221" i="20"/>
  <c r="F219" i="20"/>
  <c r="F215" i="20"/>
  <c r="F211" i="20"/>
  <c r="F207" i="20"/>
  <c r="F201" i="20"/>
  <c r="F200" i="20"/>
  <c r="F198" i="20"/>
  <c r="F196" i="20"/>
  <c r="F194" i="20"/>
  <c r="F192" i="20"/>
  <c r="F187" i="20"/>
  <c r="F184" i="20"/>
  <c r="F183" i="20"/>
  <c r="F179" i="20"/>
  <c r="F176" i="20"/>
  <c r="F172" i="20"/>
  <c r="F171" i="20"/>
  <c r="F168" i="20"/>
  <c r="F167" i="20"/>
  <c r="F164" i="20"/>
  <c r="F163" i="20"/>
  <c r="F159" i="20"/>
  <c r="F155" i="20"/>
  <c r="F151" i="20"/>
  <c r="F145" i="20"/>
  <c r="F144" i="20"/>
  <c r="F141" i="20"/>
  <c r="F140" i="20"/>
  <c r="F137" i="20"/>
  <c r="F136" i="20"/>
  <c r="F129" i="20"/>
  <c r="F125" i="20"/>
  <c r="F124" i="20"/>
  <c r="F121" i="20"/>
  <c r="F114" i="20"/>
  <c r="F111" i="20"/>
  <c r="F110" i="20"/>
  <c r="F106" i="20"/>
  <c r="F103" i="20"/>
  <c r="F98" i="20"/>
  <c r="F94" i="20"/>
  <c r="F93" i="20"/>
  <c r="F90" i="20"/>
  <c r="F82" i="20"/>
  <c r="F78" i="20"/>
  <c r="G74" i="20"/>
  <c r="G75" i="20" s="1"/>
  <c r="F74" i="20"/>
  <c r="F71" i="20"/>
  <c r="F67" i="20"/>
  <c r="F63" i="20"/>
  <c r="G56" i="20"/>
  <c r="G57" i="20" s="1"/>
  <c r="G53" i="20"/>
  <c r="G49" i="20"/>
  <c r="G48" i="20"/>
  <c r="G47" i="20"/>
  <c r="G46" i="20"/>
  <c r="G45" i="20"/>
  <c r="G44" i="20"/>
  <c r="G43" i="20"/>
  <c r="G42" i="20"/>
  <c r="G41" i="20"/>
  <c r="G40" i="20"/>
  <c r="G39" i="20"/>
  <c r="G38" i="20"/>
  <c r="I26" i="20"/>
  <c r="I27" i="20"/>
  <c r="I28" i="20"/>
  <c r="I29" i="20"/>
  <c r="I30" i="20"/>
  <c r="I31" i="20"/>
  <c r="I32" i="20"/>
  <c r="I33" i="20"/>
  <c r="I34" i="20"/>
  <c r="I35" i="20"/>
  <c r="I25" i="20"/>
  <c r="G35" i="20"/>
  <c r="G34" i="20"/>
  <c r="G33" i="20"/>
  <c r="G32" i="20"/>
  <c r="G31" i="20"/>
  <c r="G30" i="20"/>
  <c r="G29" i="20"/>
  <c r="G28" i="20"/>
  <c r="G27" i="20"/>
  <c r="G26" i="20"/>
  <c r="G25" i="20"/>
  <c r="F34" i="20"/>
  <c r="F33" i="20"/>
  <c r="F32" i="20"/>
  <c r="F31" i="20"/>
  <c r="F30" i="20"/>
  <c r="F29" i="20"/>
  <c r="F28" i="20"/>
  <c r="F27" i="20"/>
  <c r="F26" i="20"/>
  <c r="F25" i="20"/>
  <c r="I14" i="20"/>
  <c r="I39" i="20" s="1"/>
  <c r="G61" i="20" s="1"/>
  <c r="G90" i="20" s="1"/>
  <c r="G104" i="20" s="1"/>
  <c r="G121" i="20" s="1"/>
  <c r="G135" i="20" s="1"/>
  <c r="G149" i="20" s="1"/>
  <c r="G163" i="20" s="1"/>
  <c r="G177" i="20" s="1"/>
  <c r="G191" i="20" s="1"/>
  <c r="G205" i="20" s="1"/>
  <c r="G219" i="20" s="1"/>
  <c r="G233" i="20" s="1"/>
  <c r="G247" i="20" s="1"/>
  <c r="G261" i="20" s="1"/>
  <c r="G275" i="20" s="1"/>
  <c r="G289" i="20" s="1"/>
  <c r="G303" i="20" s="1"/>
  <c r="H320" i="20" s="1"/>
  <c r="I15" i="20"/>
  <c r="I40" i="20" s="1"/>
  <c r="G62" i="20" s="1"/>
  <c r="G91" i="20" s="1"/>
  <c r="G105" i="20" s="1"/>
  <c r="G122" i="20" s="1"/>
  <c r="G136" i="20" s="1"/>
  <c r="G150" i="20" s="1"/>
  <c r="G164" i="20" s="1"/>
  <c r="G178" i="20" s="1"/>
  <c r="G192" i="20" s="1"/>
  <c r="G206" i="20" s="1"/>
  <c r="G220" i="20" s="1"/>
  <c r="G234" i="20" s="1"/>
  <c r="G248" i="20" s="1"/>
  <c r="G262" i="20" s="1"/>
  <c r="G276" i="20" s="1"/>
  <c r="G290" i="20" s="1"/>
  <c r="G304" i="20" s="1"/>
  <c r="H321" i="20" s="1"/>
  <c r="I16" i="20"/>
  <c r="I41" i="20" s="1"/>
  <c r="G63" i="20" s="1"/>
  <c r="G92" i="20" s="1"/>
  <c r="G106" i="20" s="1"/>
  <c r="G123" i="20" s="1"/>
  <c r="G137" i="20" s="1"/>
  <c r="G151" i="20" s="1"/>
  <c r="G165" i="20" s="1"/>
  <c r="G179" i="20" s="1"/>
  <c r="G193" i="20" s="1"/>
  <c r="G207" i="20" s="1"/>
  <c r="G221" i="20" s="1"/>
  <c r="G235" i="20" s="1"/>
  <c r="G249" i="20" s="1"/>
  <c r="G263" i="20" s="1"/>
  <c r="G277" i="20" s="1"/>
  <c r="G291" i="20" s="1"/>
  <c r="G305" i="20" s="1"/>
  <c r="H322" i="20" s="1"/>
  <c r="I17" i="20"/>
  <c r="I42" i="20" s="1"/>
  <c r="G64" i="20" s="1"/>
  <c r="G93" i="20" s="1"/>
  <c r="G107" i="20" s="1"/>
  <c r="G124" i="20" s="1"/>
  <c r="G138" i="20" s="1"/>
  <c r="G152" i="20" s="1"/>
  <c r="G166" i="20" s="1"/>
  <c r="G180" i="20" s="1"/>
  <c r="G194" i="20" s="1"/>
  <c r="G208" i="20" s="1"/>
  <c r="G222" i="20" s="1"/>
  <c r="G236" i="20" s="1"/>
  <c r="G250" i="20" s="1"/>
  <c r="G264" i="20" s="1"/>
  <c r="G278" i="20" s="1"/>
  <c r="G292" i="20" s="1"/>
  <c r="G306" i="20" s="1"/>
  <c r="H323" i="20" s="1"/>
  <c r="I18" i="20"/>
  <c r="I43" i="20" s="1"/>
  <c r="G65" i="20" s="1"/>
  <c r="G94" i="20" s="1"/>
  <c r="G108" i="20" s="1"/>
  <c r="G125" i="20" s="1"/>
  <c r="G139" i="20" s="1"/>
  <c r="G153" i="20" s="1"/>
  <c r="G167" i="20" s="1"/>
  <c r="G181" i="20" s="1"/>
  <c r="G195" i="20" s="1"/>
  <c r="G209" i="20" s="1"/>
  <c r="G223" i="20" s="1"/>
  <c r="G237" i="20" s="1"/>
  <c r="G251" i="20" s="1"/>
  <c r="G265" i="20" s="1"/>
  <c r="G279" i="20" s="1"/>
  <c r="G293" i="20" s="1"/>
  <c r="G307" i="20" s="1"/>
  <c r="H324" i="20" s="1"/>
  <c r="I19" i="20"/>
  <c r="I44" i="20" s="1"/>
  <c r="G66" i="20" s="1"/>
  <c r="G95" i="20" s="1"/>
  <c r="G109" i="20" s="1"/>
  <c r="G126" i="20" s="1"/>
  <c r="G140" i="20" s="1"/>
  <c r="G154" i="20" s="1"/>
  <c r="G168" i="20" s="1"/>
  <c r="G182" i="20" s="1"/>
  <c r="G196" i="20" s="1"/>
  <c r="G210" i="20" s="1"/>
  <c r="G224" i="20" s="1"/>
  <c r="G238" i="20" s="1"/>
  <c r="G252" i="20" s="1"/>
  <c r="G266" i="20" s="1"/>
  <c r="G280" i="20" s="1"/>
  <c r="G294" i="20" s="1"/>
  <c r="G308" i="20" s="1"/>
  <c r="H325" i="20" s="1"/>
  <c r="I20" i="20"/>
  <c r="I45" i="20" s="1"/>
  <c r="G67" i="20" s="1"/>
  <c r="G96" i="20" s="1"/>
  <c r="G110" i="20" s="1"/>
  <c r="G127" i="20" s="1"/>
  <c r="G141" i="20" s="1"/>
  <c r="G155" i="20" s="1"/>
  <c r="G169" i="20" s="1"/>
  <c r="G183" i="20" s="1"/>
  <c r="G197" i="20" s="1"/>
  <c r="G211" i="20" s="1"/>
  <c r="G225" i="20" s="1"/>
  <c r="G239" i="20" s="1"/>
  <c r="G253" i="20" s="1"/>
  <c r="G267" i="20" s="1"/>
  <c r="G281" i="20" s="1"/>
  <c r="G295" i="20" s="1"/>
  <c r="G309" i="20" s="1"/>
  <c r="H326" i="20" s="1"/>
  <c r="I21" i="20"/>
  <c r="I46" i="20" s="1"/>
  <c r="G68" i="20" s="1"/>
  <c r="G97" i="20" s="1"/>
  <c r="G111" i="20" s="1"/>
  <c r="G128" i="20" s="1"/>
  <c r="G142" i="20" s="1"/>
  <c r="G156" i="20" s="1"/>
  <c r="G170" i="20" s="1"/>
  <c r="G184" i="20" s="1"/>
  <c r="G198" i="20" s="1"/>
  <c r="G212" i="20" s="1"/>
  <c r="G226" i="20" s="1"/>
  <c r="G240" i="20" s="1"/>
  <c r="G254" i="20" s="1"/>
  <c r="G268" i="20" s="1"/>
  <c r="G282" i="20" s="1"/>
  <c r="G296" i="20" s="1"/>
  <c r="G310" i="20" s="1"/>
  <c r="H327" i="20" s="1"/>
  <c r="I22" i="20"/>
  <c r="I47" i="20" s="1"/>
  <c r="G69" i="20" s="1"/>
  <c r="G98" i="20" s="1"/>
  <c r="G112" i="20" s="1"/>
  <c r="G129" i="20" s="1"/>
  <c r="G143" i="20" s="1"/>
  <c r="G157" i="20" s="1"/>
  <c r="G171" i="20" s="1"/>
  <c r="G185" i="20" s="1"/>
  <c r="G199" i="20" s="1"/>
  <c r="G213" i="20" s="1"/>
  <c r="G227" i="20" s="1"/>
  <c r="G241" i="20" s="1"/>
  <c r="G255" i="20" s="1"/>
  <c r="G269" i="20" s="1"/>
  <c r="G283" i="20" s="1"/>
  <c r="G297" i="20" s="1"/>
  <c r="G311" i="20" s="1"/>
  <c r="H328" i="20" s="1"/>
  <c r="I23" i="20"/>
  <c r="I48" i="20" s="1"/>
  <c r="G70" i="20" s="1"/>
  <c r="G99" i="20" s="1"/>
  <c r="G113" i="20" s="1"/>
  <c r="G130" i="20" s="1"/>
  <c r="G144" i="20" s="1"/>
  <c r="G158" i="20" s="1"/>
  <c r="G172" i="20" s="1"/>
  <c r="G186" i="20" s="1"/>
  <c r="G200" i="20" s="1"/>
  <c r="G214" i="20" s="1"/>
  <c r="G228" i="20" s="1"/>
  <c r="G242" i="20" s="1"/>
  <c r="G256" i="20" s="1"/>
  <c r="G270" i="20" s="1"/>
  <c r="G284" i="20" s="1"/>
  <c r="G298" i="20" s="1"/>
  <c r="G312" i="20" s="1"/>
  <c r="H329" i="20" s="1"/>
  <c r="I13" i="20"/>
  <c r="I38" i="20" s="1"/>
  <c r="G60" i="20" s="1"/>
  <c r="G89" i="20" s="1"/>
  <c r="G103" i="20" s="1"/>
  <c r="G24" i="20"/>
  <c r="G23" i="20"/>
  <c r="G19" i="20"/>
  <c r="G18" i="20"/>
  <c r="I8" i="20"/>
  <c r="I7" i="20"/>
  <c r="F24" i="20"/>
  <c r="F49" i="20" s="1"/>
  <c r="F23" i="20"/>
  <c r="F48" i="20" s="1"/>
  <c r="F22" i="20"/>
  <c r="F47" i="20" s="1"/>
  <c r="F21" i="20"/>
  <c r="F46" i="20" s="1"/>
  <c r="F20" i="20"/>
  <c r="F45" i="20" s="1"/>
  <c r="F19" i="20"/>
  <c r="F44" i="20" s="1"/>
  <c r="F18" i="20"/>
  <c r="F43" i="20" s="1"/>
  <c r="F17" i="20"/>
  <c r="F42" i="20" s="1"/>
  <c r="F16" i="20"/>
  <c r="F41" i="20" s="1"/>
  <c r="F15" i="20"/>
  <c r="F40" i="20" s="1"/>
  <c r="F14" i="20"/>
  <c r="F39" i="20" s="1"/>
  <c r="F13" i="20"/>
  <c r="F38" i="20" s="1"/>
  <c r="G9" i="20"/>
  <c r="G8" i="20"/>
  <c r="G7" i="20"/>
  <c r="G6" i="20"/>
  <c r="I3" i="20"/>
  <c r="G3" i="20"/>
  <c r="G2" i="20"/>
  <c r="F2" i="20"/>
  <c r="F3" i="20" s="1"/>
  <c r="B49" i="4"/>
  <c r="B3" i="19" s="1"/>
  <c r="AJ24" i="19"/>
  <c r="AJ47" i="19" s="1"/>
  <c r="AG24" i="19"/>
  <c r="AG47" i="19" s="1"/>
  <c r="AD24" i="19"/>
  <c r="AD47" i="19" s="1"/>
  <c r="AA24" i="19"/>
  <c r="AA47" i="19" s="1"/>
  <c r="X24" i="19"/>
  <c r="X47" i="19" s="1"/>
  <c r="U24" i="19"/>
  <c r="U47" i="19" s="1"/>
  <c r="R24" i="19"/>
  <c r="R47" i="19" s="1"/>
  <c r="O24" i="19"/>
  <c r="O47" i="19" s="1"/>
  <c r="L24" i="19"/>
  <c r="L47" i="19" s="1"/>
  <c r="I24" i="19"/>
  <c r="I47" i="19" s="1"/>
  <c r="AJ60" i="19"/>
  <c r="AJ61" i="19" s="1"/>
  <c r="AG60" i="19"/>
  <c r="AG61" i="19" s="1"/>
  <c r="AD60" i="19"/>
  <c r="AD61" i="19" s="1"/>
  <c r="AA60" i="19"/>
  <c r="AA61" i="19" s="1"/>
  <c r="X60" i="19"/>
  <c r="X61" i="19" s="1"/>
  <c r="U60" i="19"/>
  <c r="U61" i="19" s="1"/>
  <c r="R60" i="19"/>
  <c r="R61" i="19" s="1"/>
  <c r="O60" i="19"/>
  <c r="O61" i="19" s="1"/>
  <c r="L60" i="19"/>
  <c r="L61" i="19" s="1"/>
  <c r="I60" i="19"/>
  <c r="I61" i="19" s="1"/>
  <c r="AJ70" i="19"/>
  <c r="F60" i="19"/>
  <c r="F61" i="19" s="1"/>
  <c r="AL48" i="19"/>
  <c r="AL44" i="19"/>
  <c r="AL43" i="19"/>
  <c r="AL41" i="19"/>
  <c r="AL40" i="19"/>
  <c r="AL39" i="19"/>
  <c r="AL38" i="19"/>
  <c r="AL37" i="19"/>
  <c r="AL36" i="19"/>
  <c r="AL35" i="19"/>
  <c r="AL34" i="19"/>
  <c r="AL33" i="19"/>
  <c r="AL31" i="19"/>
  <c r="AI44" i="19"/>
  <c r="AI43" i="19"/>
  <c r="AI42" i="19"/>
  <c r="AI41" i="19"/>
  <c r="AI40" i="19"/>
  <c r="AI39" i="19"/>
  <c r="AI37" i="19"/>
  <c r="AI36" i="19"/>
  <c r="AI33" i="19"/>
  <c r="AI31" i="19"/>
  <c r="AF43" i="19"/>
  <c r="AF42" i="19"/>
  <c r="AF41" i="19"/>
  <c r="AF38" i="19"/>
  <c r="AF37" i="19"/>
  <c r="AF35" i="19"/>
  <c r="AF32" i="19"/>
  <c r="AC42" i="19"/>
  <c r="AC40" i="19"/>
  <c r="AC37" i="19"/>
  <c r="AC32" i="19"/>
  <c r="Z48" i="19"/>
  <c r="Z44" i="19"/>
  <c r="Z43" i="19"/>
  <c r="Z41" i="19"/>
  <c r="Z39" i="19"/>
  <c r="Z38" i="19"/>
  <c r="Z37" i="19"/>
  <c r="Z36" i="19"/>
  <c r="Z35" i="19"/>
  <c r="Z34" i="19"/>
  <c r="Z33" i="19"/>
  <c r="Z32" i="19"/>
  <c r="Z31" i="19"/>
  <c r="W48" i="19"/>
  <c r="W44" i="19"/>
  <c r="W42" i="19"/>
  <c r="W40" i="19"/>
  <c r="W39" i="19"/>
  <c r="W36" i="19"/>
  <c r="W34" i="19"/>
  <c r="W31" i="19"/>
  <c r="T48" i="19"/>
  <c r="T42" i="19"/>
  <c r="T38" i="19"/>
  <c r="T36" i="19"/>
  <c r="T35" i="19"/>
  <c r="T32" i="19"/>
  <c r="Q42" i="19"/>
  <c r="Q40" i="19"/>
  <c r="Q37" i="19"/>
  <c r="N48" i="19"/>
  <c r="N44" i="19"/>
  <c r="N43" i="19"/>
  <c r="N41" i="19"/>
  <c r="N40" i="19"/>
  <c r="N39" i="19"/>
  <c r="N37" i="19"/>
  <c r="N36" i="19"/>
  <c r="N34" i="19"/>
  <c r="N33" i="19"/>
  <c r="N32" i="19"/>
  <c r="N31" i="19"/>
  <c r="K48" i="19"/>
  <c r="K43" i="19"/>
  <c r="K41" i="19"/>
  <c r="K40" i="19"/>
  <c r="K36" i="19"/>
  <c r="K34" i="19"/>
  <c r="K33" i="19"/>
  <c r="K31" i="19"/>
  <c r="H49" i="19"/>
  <c r="H48" i="19"/>
  <c r="H42" i="19"/>
  <c r="H38" i="19"/>
  <c r="H37" i="19"/>
  <c r="H35" i="19"/>
  <c r="H34" i="19"/>
  <c r="H32" i="19"/>
  <c r="E42" i="19"/>
  <c r="E33" i="19"/>
  <c r="F24" i="19"/>
  <c r="F35" i="19" s="1"/>
  <c r="AJ5" i="19"/>
  <c r="AG5" i="19"/>
  <c r="D5" i="10"/>
  <c r="E5" i="10"/>
  <c r="F5" i="10"/>
  <c r="G5" i="10"/>
  <c r="H5" i="10"/>
  <c r="I5" i="10"/>
  <c r="J5" i="10"/>
  <c r="K5" i="10"/>
  <c r="L5" i="10"/>
  <c r="M5" i="10"/>
  <c r="N5" i="10"/>
  <c r="C5" i="10"/>
  <c r="C4" i="10"/>
  <c r="D8" i="10" s="1"/>
  <c r="D22" i="10" s="1"/>
  <c r="D4" i="10"/>
  <c r="D9" i="10" s="1"/>
  <c r="D23" i="10" s="1"/>
  <c r="E4" i="10"/>
  <c r="D10" i="10" s="1"/>
  <c r="D24" i="10" s="1"/>
  <c r="F4" i="10"/>
  <c r="D11" i="10" s="1"/>
  <c r="D25" i="10" s="1"/>
  <c r="G4" i="10"/>
  <c r="D12" i="10" s="1"/>
  <c r="D26" i="10" s="1"/>
  <c r="H4" i="10"/>
  <c r="D13" i="10" s="1"/>
  <c r="D27" i="10" s="1"/>
  <c r="I4" i="10"/>
  <c r="D14" i="10" s="1"/>
  <c r="D28" i="10" s="1"/>
  <c r="J4" i="10"/>
  <c r="D15" i="10" s="1"/>
  <c r="D29" i="10" s="1"/>
  <c r="K4" i="10"/>
  <c r="D16" i="10" s="1"/>
  <c r="D30" i="10" s="1"/>
  <c r="L4" i="10"/>
  <c r="D17" i="10" s="1"/>
  <c r="D31" i="10" s="1"/>
  <c r="M4" i="10"/>
  <c r="D18" i="10" s="1"/>
  <c r="N4" i="10"/>
  <c r="D19" i="10" s="1"/>
  <c r="B4" i="10"/>
  <c r="D7" i="10" s="1"/>
  <c r="D21" i="10" s="1"/>
  <c r="C3" i="10"/>
  <c r="C8" i="10" s="1"/>
  <c r="C22" i="10" s="1"/>
  <c r="D3" i="10"/>
  <c r="C9" i="10" s="1"/>
  <c r="C23" i="10" s="1"/>
  <c r="E3" i="10"/>
  <c r="C10" i="10" s="1"/>
  <c r="C24" i="10" s="1"/>
  <c r="F3" i="10"/>
  <c r="C11" i="10" s="1"/>
  <c r="C25" i="10" s="1"/>
  <c r="G3" i="10"/>
  <c r="C12" i="10" s="1"/>
  <c r="C26" i="10" s="1"/>
  <c r="H3" i="10"/>
  <c r="C13" i="10" s="1"/>
  <c r="C27" i="10" s="1"/>
  <c r="I3" i="10"/>
  <c r="C14" i="10" s="1"/>
  <c r="C28" i="10" s="1"/>
  <c r="J3" i="10"/>
  <c r="C15" i="10" s="1"/>
  <c r="C29" i="10" s="1"/>
  <c r="K3" i="10"/>
  <c r="C16" i="10" s="1"/>
  <c r="C30" i="10" s="1"/>
  <c r="L3" i="10"/>
  <c r="C17" i="10" s="1"/>
  <c r="M3" i="10"/>
  <c r="C18" i="10" s="1"/>
  <c r="F8" i="20" s="1"/>
  <c r="N3" i="10"/>
  <c r="C19" i="10" s="1"/>
  <c r="F9" i="20" s="1"/>
  <c r="B3" i="10"/>
  <c r="C7" i="10" s="1"/>
  <c r="C21" i="10" s="1"/>
  <c r="C3" i="19"/>
  <c r="AJ7" i="19" s="1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B8" i="19"/>
  <c r="B7" i="19"/>
  <c r="B6" i="19"/>
  <c r="D100" i="4"/>
  <c r="E100" i="4"/>
  <c r="F100" i="4"/>
  <c r="G100" i="4"/>
  <c r="H100" i="4"/>
  <c r="I100" i="4"/>
  <c r="J100" i="4"/>
  <c r="K100" i="4"/>
  <c r="AI49" i="19" s="1"/>
  <c r="L100" i="4"/>
  <c r="M100" i="4"/>
  <c r="N100" i="4"/>
  <c r="C100" i="4"/>
  <c r="D97" i="4"/>
  <c r="E97" i="4"/>
  <c r="F97" i="4"/>
  <c r="G97" i="4"/>
  <c r="H97" i="4"/>
  <c r="I97" i="4"/>
  <c r="J97" i="4"/>
  <c r="K97" i="4"/>
  <c r="AL50" i="19" s="1"/>
  <c r="L97" i="4"/>
  <c r="M97" i="4"/>
  <c r="N97" i="4"/>
  <c r="C97" i="4"/>
  <c r="D94" i="4"/>
  <c r="E94" i="4"/>
  <c r="F94" i="4"/>
  <c r="G94" i="4"/>
  <c r="H94" i="4"/>
  <c r="I94" i="4"/>
  <c r="J94" i="4"/>
  <c r="K94" i="4"/>
  <c r="AC51" i="19" s="1"/>
  <c r="L94" i="4"/>
  <c r="M94" i="4"/>
  <c r="N94" i="4"/>
  <c r="C94" i="4"/>
  <c r="D27" i="4"/>
  <c r="E27" i="4"/>
  <c r="F27" i="4"/>
  <c r="G27" i="4"/>
  <c r="H27" i="4"/>
  <c r="I27" i="4"/>
  <c r="J27" i="4"/>
  <c r="K27" i="4"/>
  <c r="L27" i="4"/>
  <c r="M27" i="4"/>
  <c r="N27" i="4"/>
  <c r="C27" i="4"/>
  <c r="D26" i="4"/>
  <c r="E26" i="4"/>
  <c r="F26" i="4"/>
  <c r="G26" i="4"/>
  <c r="H26" i="4"/>
  <c r="I26" i="4"/>
  <c r="J26" i="4"/>
  <c r="K26" i="4"/>
  <c r="L26" i="4"/>
  <c r="M26" i="4"/>
  <c r="N26" i="4"/>
  <c r="C26" i="4"/>
  <c r="D25" i="4"/>
  <c r="E25" i="4"/>
  <c r="F25" i="4"/>
  <c r="G25" i="4"/>
  <c r="H25" i="4"/>
  <c r="I25" i="4"/>
  <c r="J25" i="4"/>
  <c r="K25" i="4"/>
  <c r="L25" i="4"/>
  <c r="M25" i="4"/>
  <c r="N25" i="4"/>
  <c r="C25" i="4"/>
  <c r="E38" i="19" l="1"/>
  <c r="Q39" i="19"/>
  <c r="Q43" i="19"/>
  <c r="AC38" i="19"/>
  <c r="F68" i="20"/>
  <c r="F212" i="20"/>
  <c r="F310" i="20"/>
  <c r="Q33" i="19"/>
  <c r="AC44" i="19"/>
  <c r="F117" i="20"/>
  <c r="B33" i="20" s="1"/>
  <c r="B33" i="24" s="1"/>
  <c r="F128" i="20"/>
  <c r="F166" i="20"/>
  <c r="F197" i="20"/>
  <c r="E40" i="19"/>
  <c r="Q41" i="19"/>
  <c r="Q48" i="19"/>
  <c r="F64" i="20"/>
  <c r="AL42" i="19"/>
  <c r="F220" i="20"/>
  <c r="F218" i="20"/>
  <c r="T37" i="19"/>
  <c r="F150" i="20"/>
  <c r="F154" i="20"/>
  <c r="E37" i="19"/>
  <c r="H33" i="19"/>
  <c r="T33" i="19"/>
  <c r="W33" i="19"/>
  <c r="AF33" i="19"/>
  <c r="N38" i="19"/>
  <c r="H31" i="19"/>
  <c r="T31" i="19"/>
  <c r="AF31" i="19"/>
  <c r="F60" i="20"/>
  <c r="F311" i="20"/>
  <c r="T41" i="19"/>
  <c r="H41" i="19"/>
  <c r="W41" i="19"/>
  <c r="F204" i="20"/>
  <c r="E41" i="19"/>
  <c r="AF36" i="19"/>
  <c r="F135" i="20"/>
  <c r="Q36" i="19"/>
  <c r="AC36" i="19"/>
  <c r="E36" i="19"/>
  <c r="N35" i="19"/>
  <c r="F123" i="20"/>
  <c r="F127" i="20"/>
  <c r="K35" i="19"/>
  <c r="W35" i="19"/>
  <c r="AI35" i="19"/>
  <c r="E35" i="19"/>
  <c r="H39" i="19"/>
  <c r="K39" i="19"/>
  <c r="T39" i="19"/>
  <c r="AF39" i="19"/>
  <c r="T40" i="19"/>
  <c r="AF40" i="19"/>
  <c r="H40" i="19"/>
  <c r="T44" i="19"/>
  <c r="F247" i="20"/>
  <c r="F255" i="20"/>
  <c r="E44" i="19"/>
  <c r="W43" i="19"/>
  <c r="F232" i="20"/>
  <c r="AI32" i="19"/>
  <c r="F91" i="20"/>
  <c r="F95" i="20"/>
  <c r="AL32" i="19"/>
  <c r="E32" i="19"/>
  <c r="H50" i="19"/>
  <c r="Q49" i="19"/>
  <c r="T50" i="19"/>
  <c r="AC49" i="19"/>
  <c r="AF50" i="19"/>
  <c r="E49" i="19"/>
  <c r="H51" i="19"/>
  <c r="N49" i="19"/>
  <c r="Q50" i="19"/>
  <c r="T51" i="19"/>
  <c r="Z49" i="19"/>
  <c r="AC50" i="19"/>
  <c r="AF51" i="19"/>
  <c r="AL49" i="19"/>
  <c r="K51" i="19"/>
  <c r="W51" i="19"/>
  <c r="AI51" i="19"/>
  <c r="E51" i="19"/>
  <c r="K50" i="19"/>
  <c r="N51" i="19"/>
  <c r="T49" i="19"/>
  <c r="W50" i="19"/>
  <c r="Z51" i="19"/>
  <c r="AF49" i="19"/>
  <c r="AI50" i="19"/>
  <c r="AL51" i="19"/>
  <c r="E50" i="19"/>
  <c r="K49" i="19"/>
  <c r="N50" i="19"/>
  <c r="Q51" i="19"/>
  <c r="W49" i="19"/>
  <c r="Z50" i="19"/>
  <c r="G9" i="32"/>
  <c r="G9" i="34"/>
  <c r="F44" i="19"/>
  <c r="F31" i="19"/>
  <c r="AJ46" i="19"/>
  <c r="F26" i="22"/>
  <c r="F40" i="22" s="1"/>
  <c r="H343" i="20"/>
  <c r="F18" i="22"/>
  <c r="F32" i="22" s="1"/>
  <c r="H335" i="20"/>
  <c r="F19" i="22"/>
  <c r="F33" i="22" s="1"/>
  <c r="H336" i="20"/>
  <c r="H342" i="20"/>
  <c r="F25" i="22"/>
  <c r="F39" i="22" s="1"/>
  <c r="H338" i="20"/>
  <c r="F21" i="22"/>
  <c r="F35" i="22" s="1"/>
  <c r="F22" i="22"/>
  <c r="F36" i="22" s="1"/>
  <c r="H339" i="20"/>
  <c r="F27" i="22"/>
  <c r="H344" i="20"/>
  <c r="H349" i="20" s="1"/>
  <c r="H340" i="20"/>
  <c r="F23" i="22"/>
  <c r="F37" i="22" s="1"/>
  <c r="G120" i="20"/>
  <c r="G134" i="20" s="1"/>
  <c r="G148" i="20" s="1"/>
  <c r="G162" i="20" s="1"/>
  <c r="G176" i="20" s="1"/>
  <c r="G190" i="20" s="1"/>
  <c r="G204" i="20" s="1"/>
  <c r="G218" i="20" s="1"/>
  <c r="G232" i="20" s="1"/>
  <c r="G246" i="20" s="1"/>
  <c r="G260" i="20" s="1"/>
  <c r="G274" i="20" s="1"/>
  <c r="G288" i="20" s="1"/>
  <c r="G302" i="20" s="1"/>
  <c r="H319" i="20" s="1"/>
  <c r="G117" i="20"/>
  <c r="H341" i="20"/>
  <c r="F24" i="22"/>
  <c r="F38" i="22" s="1"/>
  <c r="H337" i="20"/>
  <c r="F20" i="22"/>
  <c r="F34" i="22" s="1"/>
  <c r="AD38" i="19"/>
  <c r="F37" i="19"/>
  <c r="R25" i="19"/>
  <c r="AD25" i="19"/>
  <c r="R38" i="19"/>
  <c r="F25" i="19"/>
  <c r="F34" i="19"/>
  <c r="L25" i="19"/>
  <c r="R34" i="19"/>
  <c r="X25" i="19"/>
  <c r="AD34" i="19"/>
  <c r="AJ28" i="19"/>
  <c r="G79" i="20"/>
  <c r="G86" i="20"/>
  <c r="H318" i="20" s="1"/>
  <c r="G78" i="20"/>
  <c r="G83" i="20"/>
  <c r="G82" i="20"/>
  <c r="L46" i="19"/>
  <c r="X46" i="19"/>
  <c r="AJ42" i="19"/>
  <c r="L38" i="19"/>
  <c r="X38" i="19"/>
  <c r="AJ38" i="19"/>
  <c r="F42" i="19"/>
  <c r="L34" i="19"/>
  <c r="R46" i="19"/>
  <c r="X34" i="19"/>
  <c r="AD46" i="19"/>
  <c r="AJ34" i="19"/>
  <c r="I42" i="19"/>
  <c r="O42" i="19"/>
  <c r="U42" i="19"/>
  <c r="AA42" i="19"/>
  <c r="AG42" i="19"/>
  <c r="F45" i="19"/>
  <c r="F38" i="19"/>
  <c r="F32" i="19"/>
  <c r="I38" i="19"/>
  <c r="O38" i="19"/>
  <c r="U38" i="19"/>
  <c r="AA38" i="19"/>
  <c r="AG38" i="19"/>
  <c r="F48" i="19"/>
  <c r="F40" i="19"/>
  <c r="F33" i="19"/>
  <c r="I34" i="19"/>
  <c r="L42" i="19"/>
  <c r="O34" i="19"/>
  <c r="R42" i="19"/>
  <c r="U34" i="19"/>
  <c r="X42" i="19"/>
  <c r="AA34" i="19"/>
  <c r="AD42" i="19"/>
  <c r="AG34" i="19"/>
  <c r="AJ41" i="19"/>
  <c r="I25" i="19"/>
  <c r="I46" i="19"/>
  <c r="O25" i="19"/>
  <c r="O46" i="19"/>
  <c r="U25" i="19"/>
  <c r="U46" i="19"/>
  <c r="AA25" i="19"/>
  <c r="AA46" i="19"/>
  <c r="AG25" i="19"/>
  <c r="AG46" i="19"/>
  <c r="I33" i="19"/>
  <c r="I41" i="19"/>
  <c r="I45" i="19"/>
  <c r="L37" i="19"/>
  <c r="O37" i="19"/>
  <c r="O41" i="19"/>
  <c r="O45" i="19"/>
  <c r="R33" i="19"/>
  <c r="R37" i="19"/>
  <c r="R45" i="19"/>
  <c r="U33" i="19"/>
  <c r="U37" i="19"/>
  <c r="U45" i="19"/>
  <c r="X33" i="19"/>
  <c r="X37" i="19"/>
  <c r="X41" i="19"/>
  <c r="X45" i="19"/>
  <c r="AA33" i="19"/>
  <c r="AA37" i="19"/>
  <c r="AA41" i="19"/>
  <c r="AA45" i="19"/>
  <c r="AD33" i="19"/>
  <c r="AD37" i="19"/>
  <c r="AD41" i="19"/>
  <c r="AD45" i="19"/>
  <c r="AG33" i="19"/>
  <c r="AG37" i="19"/>
  <c r="AG41" i="19"/>
  <c r="AG45" i="19"/>
  <c r="AJ33" i="19"/>
  <c r="AJ37" i="19"/>
  <c r="AJ45" i="19"/>
  <c r="F46" i="19"/>
  <c r="F41" i="19"/>
  <c r="F36" i="19"/>
  <c r="I32" i="19"/>
  <c r="I36" i="19"/>
  <c r="I40" i="19"/>
  <c r="I44" i="19"/>
  <c r="I48" i="19"/>
  <c r="L32" i="19"/>
  <c r="L36" i="19"/>
  <c r="L40" i="19"/>
  <c r="L44" i="19"/>
  <c r="L48" i="19"/>
  <c r="O32" i="19"/>
  <c r="O36" i="19"/>
  <c r="O40" i="19"/>
  <c r="O44" i="19"/>
  <c r="O48" i="19"/>
  <c r="R32" i="19"/>
  <c r="R36" i="19"/>
  <c r="R40" i="19"/>
  <c r="R44" i="19"/>
  <c r="R48" i="19"/>
  <c r="U32" i="19"/>
  <c r="U36" i="19"/>
  <c r="U40" i="19"/>
  <c r="U44" i="19"/>
  <c r="U48" i="19"/>
  <c r="X32" i="19"/>
  <c r="X36" i="19"/>
  <c r="X40" i="19"/>
  <c r="X44" i="19"/>
  <c r="X48" i="19"/>
  <c r="AA32" i="19"/>
  <c r="AA36" i="19"/>
  <c r="AA40" i="19"/>
  <c r="AA44" i="19"/>
  <c r="AA48" i="19"/>
  <c r="AD32" i="19"/>
  <c r="AD36" i="19"/>
  <c r="AD40" i="19"/>
  <c r="AD44" i="19"/>
  <c r="AD48" i="19"/>
  <c r="AG32" i="19"/>
  <c r="AG36" i="19"/>
  <c r="AG40" i="19"/>
  <c r="AG44" i="19"/>
  <c r="AG48" i="19"/>
  <c r="AJ32" i="19"/>
  <c r="AJ36" i="19"/>
  <c r="AJ40" i="19"/>
  <c r="AJ44" i="19"/>
  <c r="AJ48" i="19"/>
  <c r="D3" i="19"/>
  <c r="I37" i="19"/>
  <c r="L33" i="19"/>
  <c r="L41" i="19"/>
  <c r="L45" i="19"/>
  <c r="O33" i="19"/>
  <c r="R41" i="19"/>
  <c r="U41" i="19"/>
  <c r="I31" i="19"/>
  <c r="I35" i="19"/>
  <c r="I39" i="19"/>
  <c r="I43" i="19"/>
  <c r="L31" i="19"/>
  <c r="L35" i="19"/>
  <c r="L39" i="19"/>
  <c r="L43" i="19"/>
  <c r="O31" i="19"/>
  <c r="O35" i="19"/>
  <c r="O39" i="19"/>
  <c r="O43" i="19"/>
  <c r="R31" i="19"/>
  <c r="R35" i="19"/>
  <c r="R39" i="19"/>
  <c r="R43" i="19"/>
  <c r="U31" i="19"/>
  <c r="U35" i="19"/>
  <c r="U39" i="19"/>
  <c r="U43" i="19"/>
  <c r="X31" i="19"/>
  <c r="X35" i="19"/>
  <c r="X39" i="19"/>
  <c r="X43" i="19"/>
  <c r="AA31" i="19"/>
  <c r="AA35" i="19"/>
  <c r="AA39" i="19"/>
  <c r="AA43" i="19"/>
  <c r="AD31" i="19"/>
  <c r="AD35" i="19"/>
  <c r="AD39" i="19"/>
  <c r="AD43" i="19"/>
  <c r="AG31" i="19"/>
  <c r="AG35" i="19"/>
  <c r="AG39" i="19"/>
  <c r="AG43" i="19"/>
  <c r="AJ31" i="19"/>
  <c r="AJ35" i="19"/>
  <c r="AJ39" i="19"/>
  <c r="AJ43" i="19"/>
  <c r="AA7" i="19"/>
  <c r="I49" i="19"/>
  <c r="L50" i="19"/>
  <c r="O51" i="19"/>
  <c r="U49" i="19"/>
  <c r="X50" i="19"/>
  <c r="AA51" i="19"/>
  <c r="AG49" i="19"/>
  <c r="AJ50" i="19"/>
  <c r="X6" i="19"/>
  <c r="F51" i="19"/>
  <c r="L49" i="19"/>
  <c r="O50" i="19"/>
  <c r="R51" i="19"/>
  <c r="X49" i="19"/>
  <c r="AA50" i="19"/>
  <c r="AD51" i="19"/>
  <c r="AJ49" i="19"/>
  <c r="C8" i="19"/>
  <c r="F7" i="19"/>
  <c r="L6" i="19"/>
  <c r="F50" i="19"/>
  <c r="I51" i="19"/>
  <c r="O49" i="19"/>
  <c r="R50" i="19"/>
  <c r="U51" i="19"/>
  <c r="AA49" i="19"/>
  <c r="AD50" i="19"/>
  <c r="AG51" i="19"/>
  <c r="C4" i="19"/>
  <c r="F47" i="19"/>
  <c r="F43" i="19"/>
  <c r="F39" i="19"/>
  <c r="F49" i="19"/>
  <c r="I50" i="19"/>
  <c r="L51" i="19"/>
  <c r="R49" i="19"/>
  <c r="U50" i="19"/>
  <c r="X51" i="19"/>
  <c r="AD49" i="19"/>
  <c r="AG50" i="19"/>
  <c r="AJ51" i="19"/>
  <c r="R8" i="19"/>
  <c r="O7" i="19"/>
  <c r="AD8" i="19"/>
  <c r="AJ6" i="19"/>
  <c r="C7" i="19"/>
  <c r="C58" i="19"/>
  <c r="F6" i="19"/>
  <c r="I8" i="19"/>
  <c r="O6" i="19"/>
  <c r="R7" i="19"/>
  <c r="U8" i="19"/>
  <c r="AA6" i="19"/>
  <c r="AD7" i="19"/>
  <c r="AG8" i="19"/>
  <c r="C6" i="19"/>
  <c r="C25" i="19"/>
  <c r="I7" i="19"/>
  <c r="L8" i="19"/>
  <c r="R6" i="19"/>
  <c r="U7" i="19"/>
  <c r="X8" i="19"/>
  <c r="AD6" i="19"/>
  <c r="AG7" i="19"/>
  <c r="AJ8" i="19"/>
  <c r="C5" i="19"/>
  <c r="D5" i="19" s="1"/>
  <c r="C18" i="19"/>
  <c r="F8" i="19"/>
  <c r="I6" i="19"/>
  <c r="L7" i="19"/>
  <c r="O8" i="19"/>
  <c r="U6" i="19"/>
  <c r="X7" i="19"/>
  <c r="AA8" i="19"/>
  <c r="AG6" i="19"/>
  <c r="H334" i="20" l="1"/>
  <c r="F17" i="22"/>
  <c r="F31" i="22" s="1"/>
  <c r="F28" i="22"/>
  <c r="F41" i="22"/>
  <c r="G7" i="22" l="1"/>
  <c r="F314" i="20"/>
  <c r="B47" i="20" s="1"/>
  <c r="B47" i="24" s="1"/>
  <c r="H313" i="20"/>
  <c r="H312" i="20"/>
  <c r="H311" i="20"/>
  <c r="H310" i="20"/>
  <c r="H309" i="20"/>
  <c r="H308" i="20"/>
  <c r="H307" i="20"/>
  <c r="H306" i="20"/>
  <c r="H305" i="20"/>
  <c r="H304" i="20"/>
  <c r="H303" i="20"/>
  <c r="H302" i="20"/>
  <c r="F258" i="20"/>
  <c r="B43" i="20" s="1"/>
  <c r="B43" i="24" s="1"/>
  <c r="H257" i="20"/>
  <c r="H256" i="20"/>
  <c r="H255" i="20"/>
  <c r="H254" i="20"/>
  <c r="H253" i="20"/>
  <c r="H252" i="20"/>
  <c r="H251" i="20"/>
  <c r="H250" i="20"/>
  <c r="H249" i="20"/>
  <c r="H248" i="20"/>
  <c r="H247" i="20"/>
  <c r="H246" i="20"/>
  <c r="F244" i="20"/>
  <c r="B42" i="20" s="1"/>
  <c r="B42" i="24" s="1"/>
  <c r="H243" i="20"/>
  <c r="H242" i="20"/>
  <c r="H241" i="20"/>
  <c r="H240" i="20"/>
  <c r="H239" i="20"/>
  <c r="H238" i="20"/>
  <c r="H237" i="20"/>
  <c r="H236" i="20"/>
  <c r="H235" i="20"/>
  <c r="H234" i="20"/>
  <c r="H233" i="20"/>
  <c r="H232" i="20"/>
  <c r="F230" i="20"/>
  <c r="B41" i="20" s="1"/>
  <c r="B41" i="24" s="1"/>
  <c r="H229" i="20"/>
  <c r="H228" i="20"/>
  <c r="H227" i="20"/>
  <c r="H226" i="20"/>
  <c r="H225" i="20"/>
  <c r="H224" i="20"/>
  <c r="H223" i="20"/>
  <c r="H222" i="20"/>
  <c r="H221" i="20"/>
  <c r="H220" i="20"/>
  <c r="H219" i="20"/>
  <c r="H218" i="20"/>
  <c r="F216" i="20"/>
  <c r="B40" i="20" s="1"/>
  <c r="B40" i="24" s="1"/>
  <c r="H215" i="20"/>
  <c r="H214" i="20"/>
  <c r="H213" i="20"/>
  <c r="H212" i="20"/>
  <c r="H211" i="20"/>
  <c r="H210" i="20"/>
  <c r="H209" i="20"/>
  <c r="H208" i="20"/>
  <c r="H207" i="20"/>
  <c r="H206" i="20"/>
  <c r="H205" i="20"/>
  <c r="H204" i="20"/>
  <c r="F202" i="20"/>
  <c r="B39" i="20" s="1"/>
  <c r="B39" i="24" s="1"/>
  <c r="H201" i="20"/>
  <c r="H200" i="20"/>
  <c r="H199" i="20"/>
  <c r="H198" i="20"/>
  <c r="H197" i="20"/>
  <c r="H196" i="20"/>
  <c r="H195" i="20"/>
  <c r="H194" i="20"/>
  <c r="H193" i="20"/>
  <c r="H192" i="20"/>
  <c r="H191" i="20"/>
  <c r="H190" i="20"/>
  <c r="F188" i="20"/>
  <c r="B38" i="20" s="1"/>
  <c r="B38" i="24" s="1"/>
  <c r="H187" i="20"/>
  <c r="H186" i="20"/>
  <c r="H185" i="20"/>
  <c r="H184" i="20"/>
  <c r="H183" i="20"/>
  <c r="H182" i="20"/>
  <c r="H181" i="20"/>
  <c r="H180" i="20"/>
  <c r="H179" i="20"/>
  <c r="H178" i="20"/>
  <c r="H177" i="20"/>
  <c r="H176" i="20"/>
  <c r="F174" i="20"/>
  <c r="B37" i="20" s="1"/>
  <c r="B37" i="24" s="1"/>
  <c r="H173" i="20"/>
  <c r="H172" i="20"/>
  <c r="H171" i="20"/>
  <c r="H170" i="20"/>
  <c r="H169" i="20"/>
  <c r="H168" i="20"/>
  <c r="H167" i="20"/>
  <c r="H166" i="20"/>
  <c r="H165" i="20"/>
  <c r="H164" i="20"/>
  <c r="H163" i="20"/>
  <c r="H162" i="20"/>
  <c r="F160" i="20"/>
  <c r="B36" i="20" s="1"/>
  <c r="B36" i="24" s="1"/>
  <c r="H159" i="20"/>
  <c r="H158" i="20"/>
  <c r="H157" i="20"/>
  <c r="H156" i="20"/>
  <c r="H155" i="20"/>
  <c r="H154" i="20"/>
  <c r="H153" i="20"/>
  <c r="H152" i="20"/>
  <c r="H151" i="20"/>
  <c r="H150" i="20"/>
  <c r="H149" i="20"/>
  <c r="H148" i="20"/>
  <c r="F146" i="20"/>
  <c r="B35" i="20" s="1"/>
  <c r="B35" i="24" s="1"/>
  <c r="H145" i="20"/>
  <c r="H144" i="20"/>
  <c r="H143" i="20"/>
  <c r="H142" i="20"/>
  <c r="H141" i="20"/>
  <c r="H140" i="20"/>
  <c r="H139" i="20"/>
  <c r="H138" i="20"/>
  <c r="H137" i="20"/>
  <c r="H136" i="20"/>
  <c r="H135" i="20"/>
  <c r="H134" i="20"/>
  <c r="F132" i="20"/>
  <c r="B34" i="20" s="1"/>
  <c r="B34" i="24" s="1"/>
  <c r="H131" i="20"/>
  <c r="H130" i="20"/>
  <c r="H129" i="20"/>
  <c r="H128" i="20"/>
  <c r="H127" i="20"/>
  <c r="H126" i="20"/>
  <c r="H125" i="20"/>
  <c r="H124" i="20"/>
  <c r="H123" i="20"/>
  <c r="H122" i="20"/>
  <c r="H121" i="20"/>
  <c r="H120" i="20"/>
  <c r="H117" i="20"/>
  <c r="M117" i="20" s="1"/>
  <c r="F115" i="20"/>
  <c r="B32" i="20" s="1"/>
  <c r="B32" i="24" s="1"/>
  <c r="H114" i="20"/>
  <c r="H113" i="20"/>
  <c r="H112" i="20"/>
  <c r="H111" i="20"/>
  <c r="H110" i="20"/>
  <c r="H109" i="20"/>
  <c r="H108" i="20"/>
  <c r="H107" i="20"/>
  <c r="H106" i="20"/>
  <c r="H105" i="20"/>
  <c r="H104" i="20"/>
  <c r="H103" i="20"/>
  <c r="F101" i="20"/>
  <c r="B31" i="20" s="1"/>
  <c r="B31" i="24" s="1"/>
  <c r="H100" i="20"/>
  <c r="H99" i="20"/>
  <c r="H98" i="20"/>
  <c r="H97" i="20"/>
  <c r="H96" i="20"/>
  <c r="H95" i="20"/>
  <c r="H94" i="20"/>
  <c r="H93" i="20"/>
  <c r="H92" i="20"/>
  <c r="H91" i="20"/>
  <c r="H90" i="20"/>
  <c r="H89" i="20"/>
  <c r="H82" i="20"/>
  <c r="H78" i="20"/>
  <c r="H74" i="20"/>
  <c r="F72" i="20"/>
  <c r="B30" i="20" s="1"/>
  <c r="B30" i="24" s="1"/>
  <c r="H71" i="20"/>
  <c r="H70" i="20"/>
  <c r="H69" i="20"/>
  <c r="H68" i="20"/>
  <c r="H67" i="20"/>
  <c r="H66" i="20"/>
  <c r="H65" i="20"/>
  <c r="H64" i="20"/>
  <c r="H63" i="20"/>
  <c r="H62" i="20"/>
  <c r="H61" i="20"/>
  <c r="H60" i="20"/>
  <c r="H49" i="20"/>
  <c r="J49" i="20" s="1"/>
  <c r="H48" i="20"/>
  <c r="F53" i="20" s="1"/>
  <c r="H53" i="20" s="1"/>
  <c r="H47" i="20"/>
  <c r="J47" i="20" s="1"/>
  <c r="H46" i="20"/>
  <c r="J46" i="20" s="1"/>
  <c r="H45" i="20"/>
  <c r="J45" i="20" s="1"/>
  <c r="H44" i="20"/>
  <c r="J44" i="20" s="1"/>
  <c r="H43" i="20"/>
  <c r="J43" i="20" s="1"/>
  <c r="H42" i="20"/>
  <c r="J42" i="20" s="1"/>
  <c r="H41" i="20"/>
  <c r="J41" i="20" s="1"/>
  <c r="H40" i="20"/>
  <c r="J40" i="20" s="1"/>
  <c r="H39" i="20"/>
  <c r="J39" i="20" s="1"/>
  <c r="H38" i="20"/>
  <c r="H34" i="20"/>
  <c r="J34" i="20" s="1"/>
  <c r="H33" i="20"/>
  <c r="J33" i="20" s="1"/>
  <c r="H32" i="20"/>
  <c r="J32" i="20" s="1"/>
  <c r="H31" i="20"/>
  <c r="J31" i="20" s="1"/>
  <c r="H30" i="20"/>
  <c r="J30" i="20" s="1"/>
  <c r="H29" i="20"/>
  <c r="J29" i="20" s="1"/>
  <c r="H28" i="20"/>
  <c r="J28" i="20" s="1"/>
  <c r="H27" i="20"/>
  <c r="J27" i="20" s="1"/>
  <c r="H26" i="20"/>
  <c r="J26" i="20" s="1"/>
  <c r="H25" i="20"/>
  <c r="J25" i="20" s="1"/>
  <c r="H24" i="20"/>
  <c r="J24" i="20" s="1"/>
  <c r="H23" i="20"/>
  <c r="J23" i="20" s="1"/>
  <c r="H22" i="20"/>
  <c r="J22" i="20" s="1"/>
  <c r="H21" i="20"/>
  <c r="J21" i="20" s="1"/>
  <c r="H20" i="20"/>
  <c r="J20" i="20" s="1"/>
  <c r="H19" i="20"/>
  <c r="J19" i="20" s="1"/>
  <c r="H18" i="20"/>
  <c r="J18" i="20" s="1"/>
  <c r="H17" i="20"/>
  <c r="J17" i="20" s="1"/>
  <c r="H16" i="20"/>
  <c r="J16" i="20" s="1"/>
  <c r="H15" i="20"/>
  <c r="J15" i="20" s="1"/>
  <c r="H14" i="20"/>
  <c r="J14" i="20" s="1"/>
  <c r="H13" i="20"/>
  <c r="J13" i="20" s="1"/>
  <c r="H9" i="20"/>
  <c r="J9" i="20" s="1"/>
  <c r="H8" i="20"/>
  <c r="J8" i="20" s="1"/>
  <c r="H3" i="20"/>
  <c r="J3" i="20" s="1"/>
  <c r="M3" i="20" s="1"/>
  <c r="H2" i="20"/>
  <c r="J2" i="20" s="1"/>
  <c r="D17" i="19"/>
  <c r="AM32" i="19"/>
  <c r="AM33" i="19"/>
  <c r="AM34" i="19"/>
  <c r="AM35" i="19"/>
  <c r="AM36" i="19"/>
  <c r="AM37" i="19"/>
  <c r="AM38" i="19"/>
  <c r="AM39" i="19"/>
  <c r="AM40" i="19"/>
  <c r="AM41" i="19"/>
  <c r="AM42" i="19"/>
  <c r="AM43" i="19"/>
  <c r="AM44" i="19"/>
  <c r="AM48" i="19"/>
  <c r="AM31" i="19"/>
  <c r="AK25" i="19"/>
  <c r="AK26" i="19"/>
  <c r="AK29" i="19"/>
  <c r="AK30" i="19"/>
  <c r="AK31" i="19"/>
  <c r="AK32" i="19"/>
  <c r="AK33" i="19"/>
  <c r="AK34" i="19"/>
  <c r="AK35" i="19"/>
  <c r="AK36" i="19"/>
  <c r="AK37" i="19"/>
  <c r="AK38" i="19"/>
  <c r="AK39" i="19"/>
  <c r="AK40" i="19"/>
  <c r="AK41" i="19"/>
  <c r="AK42" i="19"/>
  <c r="AK43" i="19"/>
  <c r="AK44" i="19"/>
  <c r="AK48" i="19"/>
  <c r="AK49" i="19"/>
  <c r="AK50" i="19"/>
  <c r="AK51" i="19"/>
  <c r="AK3" i="19"/>
  <c r="AH26" i="19"/>
  <c r="AH27" i="19"/>
  <c r="AH28" i="19"/>
  <c r="AH29" i="19"/>
  <c r="AH30" i="19"/>
  <c r="AH31" i="19"/>
  <c r="AH32" i="19"/>
  <c r="AH33" i="19"/>
  <c r="AH34" i="19"/>
  <c r="AH35" i="19"/>
  <c r="AH36" i="19"/>
  <c r="AH37" i="19"/>
  <c r="AH38" i="19"/>
  <c r="AH39" i="19"/>
  <c r="AH40" i="19"/>
  <c r="AH41" i="19"/>
  <c r="AH42" i="19"/>
  <c r="AH43" i="19"/>
  <c r="AH44" i="19"/>
  <c r="AH48" i="19"/>
  <c r="AH49" i="19"/>
  <c r="AH50" i="19"/>
  <c r="AH51" i="19"/>
  <c r="AH3" i="19"/>
  <c r="AH4" i="19"/>
  <c r="AE49" i="19"/>
  <c r="AE50" i="19"/>
  <c r="AE51" i="19"/>
  <c r="AE26" i="19"/>
  <c r="AE27" i="19"/>
  <c r="AE28" i="19"/>
  <c r="AE29" i="19"/>
  <c r="AE30" i="19"/>
  <c r="AE31" i="19"/>
  <c r="AE32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8" i="19"/>
  <c r="AE3" i="19"/>
  <c r="AE4" i="19"/>
  <c r="AB26" i="19"/>
  <c r="AB27" i="19"/>
  <c r="AB28" i="19"/>
  <c r="AB29" i="19"/>
  <c r="AB30" i="19"/>
  <c r="AB32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8" i="19"/>
  <c r="AB49" i="19"/>
  <c r="AB50" i="19"/>
  <c r="AB51" i="19"/>
  <c r="AB31" i="19"/>
  <c r="AB3" i="19"/>
  <c r="AB4" i="19"/>
  <c r="Y26" i="19"/>
  <c r="Y27" i="19"/>
  <c r="Y28" i="19"/>
  <c r="Y29" i="19"/>
  <c r="Y30" i="19"/>
  <c r="Y31" i="19"/>
  <c r="Y32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8" i="19"/>
  <c r="Y49" i="19"/>
  <c r="Y50" i="19"/>
  <c r="Y51" i="19"/>
  <c r="Y3" i="19"/>
  <c r="Y4" i="19"/>
  <c r="V26" i="19"/>
  <c r="V27" i="19"/>
  <c r="V28" i="19"/>
  <c r="V29" i="19"/>
  <c r="V30" i="19"/>
  <c r="V31" i="19"/>
  <c r="V32" i="19"/>
  <c r="V33" i="19"/>
  <c r="V34" i="19"/>
  <c r="V35" i="19"/>
  <c r="V36" i="19"/>
  <c r="V37" i="19"/>
  <c r="V38" i="19"/>
  <c r="V39" i="19"/>
  <c r="V40" i="19"/>
  <c r="V41" i="19"/>
  <c r="V42" i="19"/>
  <c r="V43" i="19"/>
  <c r="V44" i="19"/>
  <c r="V48" i="19"/>
  <c r="V49" i="19"/>
  <c r="V50" i="19"/>
  <c r="V51" i="19"/>
  <c r="V3" i="19"/>
  <c r="V4" i="19"/>
  <c r="S32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8" i="19"/>
  <c r="S49" i="19"/>
  <c r="S50" i="19"/>
  <c r="S51" i="19"/>
  <c r="S31" i="19"/>
  <c r="P26" i="19"/>
  <c r="P27" i="19"/>
  <c r="P28" i="19"/>
  <c r="P29" i="19"/>
  <c r="P30" i="19"/>
  <c r="P31" i="19"/>
  <c r="P32" i="19"/>
  <c r="P33" i="19"/>
  <c r="P34" i="19"/>
  <c r="P35" i="19"/>
  <c r="P36" i="19"/>
  <c r="P37" i="19"/>
  <c r="P38" i="19"/>
  <c r="P39" i="19"/>
  <c r="P40" i="19"/>
  <c r="P41" i="19"/>
  <c r="P42" i="19"/>
  <c r="P43" i="19"/>
  <c r="P44" i="19"/>
  <c r="P48" i="19"/>
  <c r="P49" i="19"/>
  <c r="P50" i="19"/>
  <c r="P51" i="19"/>
  <c r="P3" i="19"/>
  <c r="P4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40" i="19"/>
  <c r="M41" i="19"/>
  <c r="M42" i="19"/>
  <c r="M43" i="19"/>
  <c r="M44" i="19"/>
  <c r="M48" i="19"/>
  <c r="M49" i="19"/>
  <c r="M50" i="19"/>
  <c r="M51" i="19"/>
  <c r="M12" i="19"/>
  <c r="M13" i="19"/>
  <c r="M14" i="19"/>
  <c r="M15" i="19"/>
  <c r="M16" i="19"/>
  <c r="M10" i="19"/>
  <c r="M3" i="19"/>
  <c r="M4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8" i="19"/>
  <c r="J49" i="19"/>
  <c r="J50" i="19"/>
  <c r="J51" i="19"/>
  <c r="AP52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40" i="19"/>
  <c r="G41" i="19"/>
  <c r="G42" i="19"/>
  <c r="G43" i="19"/>
  <c r="G44" i="19"/>
  <c r="G48" i="19"/>
  <c r="G49" i="19"/>
  <c r="G50" i="19"/>
  <c r="G51" i="19"/>
  <c r="G19" i="19"/>
  <c r="G18" i="19"/>
  <c r="G12" i="19"/>
  <c r="G13" i="19"/>
  <c r="G14" i="19"/>
  <c r="G15" i="19"/>
  <c r="G16" i="19"/>
  <c r="G10" i="19"/>
  <c r="G3" i="19"/>
  <c r="G4" i="19"/>
  <c r="AN51" i="19"/>
  <c r="AN50" i="19"/>
  <c r="AN49" i="19"/>
  <c r="AN48" i="19"/>
  <c r="AN44" i="19"/>
  <c r="AN43" i="19"/>
  <c r="AN42" i="19"/>
  <c r="AN41" i="19"/>
  <c r="AN40" i="19"/>
  <c r="AN39" i="19"/>
  <c r="AN38" i="19"/>
  <c r="AN37" i="19"/>
  <c r="AN36" i="19"/>
  <c r="AN35" i="19"/>
  <c r="AN34" i="19"/>
  <c r="AN33" i="19"/>
  <c r="AN32" i="19"/>
  <c r="AN31" i="19"/>
  <c r="AN19" i="19"/>
  <c r="AP19" i="19" s="1"/>
  <c r="C17" i="19"/>
  <c r="D4" i="19"/>
  <c r="D6" i="19"/>
  <c r="D7" i="19"/>
  <c r="D8" i="19"/>
  <c r="B12" i="19"/>
  <c r="B17" i="19" s="1"/>
  <c r="M37" i="16"/>
  <c r="O37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51" i="16"/>
  <c r="D64" i="16"/>
  <c r="N32" i="16"/>
  <c r="M32" i="16"/>
  <c r="L32" i="16"/>
  <c r="K32" i="16"/>
  <c r="J32" i="16"/>
  <c r="I32" i="16"/>
  <c r="H32" i="16"/>
  <c r="G32" i="16"/>
  <c r="F32" i="16"/>
  <c r="E32" i="16"/>
  <c r="D32" i="16"/>
  <c r="C32" i="16"/>
  <c r="B32" i="16"/>
  <c r="N30" i="16"/>
  <c r="M30" i="16"/>
  <c r="L30" i="16"/>
  <c r="L33" i="16" s="1"/>
  <c r="K30" i="16"/>
  <c r="J30" i="16"/>
  <c r="I30" i="16"/>
  <c r="H30" i="16"/>
  <c r="H33" i="16" s="1"/>
  <c r="G30" i="16"/>
  <c r="F30" i="16"/>
  <c r="E30" i="16"/>
  <c r="D30" i="16"/>
  <c r="D33" i="16" s="1"/>
  <c r="C30" i="16"/>
  <c r="B30" i="16"/>
  <c r="N18" i="16"/>
  <c r="M18" i="16"/>
  <c r="L18" i="16"/>
  <c r="K18" i="16"/>
  <c r="J18" i="16"/>
  <c r="I18" i="16"/>
  <c r="H18" i="16"/>
  <c r="G18" i="16"/>
  <c r="G33" i="16" s="1"/>
  <c r="F18" i="16"/>
  <c r="E18" i="16"/>
  <c r="D18" i="16"/>
  <c r="C18" i="16"/>
  <c r="B18" i="16"/>
  <c r="C34" i="15"/>
  <c r="D34" i="15"/>
  <c r="E34" i="15"/>
  <c r="F34" i="15"/>
  <c r="G34" i="15"/>
  <c r="H34" i="15"/>
  <c r="I34" i="15"/>
  <c r="J34" i="15"/>
  <c r="K34" i="15"/>
  <c r="L34" i="15"/>
  <c r="M34" i="15"/>
  <c r="N34" i="15"/>
  <c r="B34" i="15"/>
  <c r="P28" i="15"/>
  <c r="O27" i="15"/>
  <c r="P26" i="15"/>
  <c r="O25" i="15"/>
  <c r="P24" i="15"/>
  <c r="O23" i="15"/>
  <c r="P22" i="15"/>
  <c r="P20" i="15"/>
  <c r="O19" i="15"/>
  <c r="O18" i="15"/>
  <c r="P17" i="15"/>
  <c r="P15" i="15"/>
  <c r="O14" i="15"/>
  <c r="P13" i="15"/>
  <c r="P11" i="15"/>
  <c r="O10" i="15"/>
  <c r="O9" i="15"/>
  <c r="L32" i="15"/>
  <c r="K32" i="15"/>
  <c r="H32" i="15"/>
  <c r="G32" i="15"/>
  <c r="D32" i="15"/>
  <c r="C32" i="15"/>
  <c r="P7" i="15"/>
  <c r="P6" i="15"/>
  <c r="O5" i="15"/>
  <c r="N32" i="15"/>
  <c r="M32" i="15"/>
  <c r="J32" i="15"/>
  <c r="I32" i="15"/>
  <c r="F32" i="15"/>
  <c r="E32" i="15"/>
  <c r="P3" i="15"/>
  <c r="P12" i="14"/>
  <c r="R12" i="14" s="1"/>
  <c r="P20" i="14"/>
  <c r="P24" i="14"/>
  <c r="P40" i="14"/>
  <c r="P44" i="14"/>
  <c r="P57" i="14"/>
  <c r="P61" i="14"/>
  <c r="P72" i="14"/>
  <c r="P76" i="14"/>
  <c r="P80" i="14"/>
  <c r="P84" i="14"/>
  <c r="P88" i="14"/>
  <c r="N89" i="14"/>
  <c r="M89" i="14"/>
  <c r="L89" i="14"/>
  <c r="K89" i="14"/>
  <c r="J89" i="14"/>
  <c r="I89" i="14"/>
  <c r="H89" i="14"/>
  <c r="G89" i="14"/>
  <c r="F89" i="14"/>
  <c r="E89" i="14"/>
  <c r="D89" i="14"/>
  <c r="C89" i="14"/>
  <c r="R88" i="14"/>
  <c r="R87" i="14"/>
  <c r="N85" i="14"/>
  <c r="M85" i="14"/>
  <c r="L85" i="14"/>
  <c r="K85" i="14"/>
  <c r="J85" i="14"/>
  <c r="I85" i="14"/>
  <c r="H85" i="14"/>
  <c r="G85" i="14"/>
  <c r="F85" i="14"/>
  <c r="E85" i="14"/>
  <c r="D85" i="14"/>
  <c r="C85" i="14"/>
  <c r="R84" i="14"/>
  <c r="R83" i="14"/>
  <c r="N81" i="14"/>
  <c r="M81" i="14"/>
  <c r="L81" i="14"/>
  <c r="K81" i="14"/>
  <c r="J81" i="14"/>
  <c r="I81" i="14"/>
  <c r="H81" i="14"/>
  <c r="G81" i="14"/>
  <c r="F81" i="14"/>
  <c r="E81" i="14"/>
  <c r="D81" i="14"/>
  <c r="C81" i="14"/>
  <c r="R80" i="14"/>
  <c r="R79" i="14"/>
  <c r="N77" i="14"/>
  <c r="M77" i="14"/>
  <c r="L77" i="14"/>
  <c r="K77" i="14"/>
  <c r="J77" i="14"/>
  <c r="I77" i="14"/>
  <c r="H77" i="14"/>
  <c r="G77" i="14"/>
  <c r="F77" i="14"/>
  <c r="E77" i="14"/>
  <c r="D77" i="14"/>
  <c r="C77" i="14"/>
  <c r="R76" i="14"/>
  <c r="R75" i="14"/>
  <c r="N73" i="14"/>
  <c r="M73" i="14"/>
  <c r="L73" i="14"/>
  <c r="K73" i="14"/>
  <c r="J73" i="14"/>
  <c r="I73" i="14"/>
  <c r="H73" i="14"/>
  <c r="G73" i="14"/>
  <c r="F73" i="14"/>
  <c r="E73" i="14"/>
  <c r="D73" i="14"/>
  <c r="C73" i="14"/>
  <c r="R72" i="14"/>
  <c r="R71" i="14"/>
  <c r="N68" i="14"/>
  <c r="R68" i="14" s="1"/>
  <c r="M67" i="14"/>
  <c r="L67" i="14"/>
  <c r="K67" i="14"/>
  <c r="J67" i="14"/>
  <c r="I67" i="14"/>
  <c r="H67" i="14"/>
  <c r="G67" i="14"/>
  <c r="F67" i="14"/>
  <c r="E67" i="14"/>
  <c r="D67" i="14"/>
  <c r="C67" i="14"/>
  <c r="R66" i="14"/>
  <c r="R65" i="14"/>
  <c r="N63" i="14"/>
  <c r="R63" i="14" s="1"/>
  <c r="M62" i="14"/>
  <c r="L62" i="14"/>
  <c r="K62" i="14"/>
  <c r="J62" i="14"/>
  <c r="I62" i="14"/>
  <c r="H62" i="14"/>
  <c r="G62" i="14"/>
  <c r="F62" i="14"/>
  <c r="E62" i="14"/>
  <c r="D62" i="14"/>
  <c r="C62" i="14"/>
  <c r="R61" i="14"/>
  <c r="R60" i="14"/>
  <c r="N58" i="14"/>
  <c r="M58" i="14"/>
  <c r="L58" i="14"/>
  <c r="K58" i="14"/>
  <c r="J58" i="14"/>
  <c r="I58" i="14"/>
  <c r="H58" i="14"/>
  <c r="G58" i="14"/>
  <c r="F58" i="14"/>
  <c r="E58" i="14"/>
  <c r="D58" i="14"/>
  <c r="C58" i="14"/>
  <c r="R57" i="14"/>
  <c r="R56" i="14"/>
  <c r="N54" i="14"/>
  <c r="M54" i="14"/>
  <c r="L54" i="14"/>
  <c r="K54" i="14"/>
  <c r="J54" i="14"/>
  <c r="I54" i="14"/>
  <c r="H54" i="14"/>
  <c r="G54" i="14"/>
  <c r="F54" i="14"/>
  <c r="E54" i="14"/>
  <c r="D54" i="14"/>
  <c r="C54" i="14"/>
  <c r="R53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R50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R47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R44" i="14"/>
  <c r="R43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R40" i="14"/>
  <c r="R39" i="14"/>
  <c r="N37" i="14"/>
  <c r="R37" i="14" s="1"/>
  <c r="M36" i="14"/>
  <c r="L36" i="14"/>
  <c r="K36" i="14"/>
  <c r="J36" i="14"/>
  <c r="I36" i="14"/>
  <c r="H36" i="14"/>
  <c r="G36" i="14"/>
  <c r="F36" i="14"/>
  <c r="E36" i="14"/>
  <c r="D36" i="14"/>
  <c r="C36" i="14"/>
  <c r="R35" i="14"/>
  <c r="R34" i="14"/>
  <c r="N32" i="14"/>
  <c r="R32" i="14" s="1"/>
  <c r="M31" i="14"/>
  <c r="L31" i="14"/>
  <c r="K31" i="14"/>
  <c r="J31" i="14"/>
  <c r="I31" i="14"/>
  <c r="H31" i="14"/>
  <c r="G31" i="14"/>
  <c r="F31" i="14"/>
  <c r="E31" i="14"/>
  <c r="D31" i="14"/>
  <c r="C31" i="14"/>
  <c r="R30" i="14"/>
  <c r="R29" i="14"/>
  <c r="R28" i="14"/>
  <c r="R27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R24" i="14"/>
  <c r="R23" i="14"/>
  <c r="R21" i="14"/>
  <c r="R20" i="14"/>
  <c r="R19" i="14"/>
  <c r="N18" i="14"/>
  <c r="L18" i="14"/>
  <c r="K18" i="14"/>
  <c r="J18" i="14"/>
  <c r="I18" i="14"/>
  <c r="H18" i="14"/>
  <c r="G18" i="14"/>
  <c r="F18" i="14"/>
  <c r="E18" i="14"/>
  <c r="D18" i="14"/>
  <c r="C18" i="14"/>
  <c r="M17" i="14"/>
  <c r="R17" i="14" s="1"/>
  <c r="N15" i="14"/>
  <c r="R15" i="14" s="1"/>
  <c r="M14" i="14"/>
  <c r="L14" i="14"/>
  <c r="K14" i="14"/>
  <c r="J14" i="14"/>
  <c r="I14" i="14"/>
  <c r="H14" i="14"/>
  <c r="G14" i="14"/>
  <c r="F14" i="14"/>
  <c r="E14" i="14"/>
  <c r="D14" i="14"/>
  <c r="R13" i="14"/>
  <c r="R11" i="14"/>
  <c r="R7" i="14"/>
  <c r="R6" i="14"/>
  <c r="M6" i="14"/>
  <c r="R5" i="14"/>
  <c r="B4" i="14"/>
  <c r="R4" i="14" s="1"/>
  <c r="B3" i="14"/>
  <c r="R3" i="14" s="1"/>
  <c r="B2" i="14"/>
  <c r="R2" i="14" s="1"/>
  <c r="C29" i="12"/>
  <c r="E18" i="12"/>
  <c r="E19" i="12"/>
  <c r="E20" i="12"/>
  <c r="E21" i="12"/>
  <c r="E22" i="12"/>
  <c r="E23" i="12"/>
  <c r="E24" i="12"/>
  <c r="E25" i="12"/>
  <c r="E26" i="12"/>
  <c r="E27" i="12"/>
  <c r="E28" i="12"/>
  <c r="E17" i="12"/>
  <c r="D14" i="12"/>
  <c r="E14" i="12"/>
  <c r="F14" i="12"/>
  <c r="G14" i="12"/>
  <c r="H14" i="12"/>
  <c r="I14" i="12"/>
  <c r="J14" i="12"/>
  <c r="K14" i="12"/>
  <c r="L14" i="12"/>
  <c r="M14" i="12"/>
  <c r="N14" i="12"/>
  <c r="C14" i="12"/>
  <c r="Q13" i="12"/>
  <c r="Q12" i="12"/>
  <c r="Q11" i="12"/>
  <c r="Q10" i="12"/>
  <c r="Q9" i="12"/>
  <c r="Q8" i="12"/>
  <c r="Q7" i="12"/>
  <c r="Q6" i="12"/>
  <c r="Q5" i="12"/>
  <c r="Q4" i="12"/>
  <c r="Q3" i="12"/>
  <c r="Q2" i="12"/>
  <c r="O13" i="4"/>
  <c r="O7" i="4"/>
  <c r="E30" i="10"/>
  <c r="AC25" i="19" s="1"/>
  <c r="E29" i="10"/>
  <c r="Z25" i="19" s="1"/>
  <c r="E28" i="10"/>
  <c r="W25" i="19" s="1"/>
  <c r="E27" i="10"/>
  <c r="T25" i="19" s="1"/>
  <c r="E26" i="10"/>
  <c r="Q25" i="19" s="1"/>
  <c r="E25" i="10"/>
  <c r="N25" i="19" s="1"/>
  <c r="E24" i="10"/>
  <c r="K25" i="19" s="1"/>
  <c r="E23" i="10"/>
  <c r="H25" i="19" s="1"/>
  <c r="J25" i="19" s="1"/>
  <c r="E22" i="10"/>
  <c r="E25" i="19" s="1"/>
  <c r="E21" i="10"/>
  <c r="O2" i="4"/>
  <c r="E8" i="10"/>
  <c r="E9" i="10"/>
  <c r="E10" i="10"/>
  <c r="E11" i="10"/>
  <c r="E12" i="10"/>
  <c r="E13" i="10"/>
  <c r="E14" i="10"/>
  <c r="E15" i="10"/>
  <c r="E16" i="10"/>
  <c r="E17" i="10"/>
  <c r="E18" i="10"/>
  <c r="AI5" i="19" s="1"/>
  <c r="AK5" i="19" s="1"/>
  <c r="E19" i="10"/>
  <c r="E7" i="10"/>
  <c r="O5" i="10"/>
  <c r="C31" i="10" s="1"/>
  <c r="C32" i="10" s="1"/>
  <c r="F6" i="20" s="1"/>
  <c r="H6" i="20" s="1"/>
  <c r="J6" i="20" s="1"/>
  <c r="O3" i="10"/>
  <c r="O6" i="4"/>
  <c r="Q103" i="4"/>
  <c r="Q107" i="4"/>
  <c r="Q113" i="4"/>
  <c r="Q117" i="4"/>
  <c r="Q121" i="4"/>
  <c r="Q125" i="4"/>
  <c r="Q129" i="4"/>
  <c r="Q133" i="4"/>
  <c r="Q100" i="4"/>
  <c r="Q97" i="4"/>
  <c r="Q94" i="4"/>
  <c r="Q90" i="4"/>
  <c r="Q86" i="4"/>
  <c r="Q82" i="4"/>
  <c r="Q81" i="4"/>
  <c r="Q76" i="4"/>
  <c r="Q74" i="4"/>
  <c r="Q70" i="4"/>
  <c r="Q53" i="4"/>
  <c r="Q52" i="4"/>
  <c r="Q51" i="4"/>
  <c r="N84" i="4"/>
  <c r="E135" i="4"/>
  <c r="I135" i="4"/>
  <c r="M135" i="4"/>
  <c r="G127" i="4"/>
  <c r="K127" i="4"/>
  <c r="D123" i="4"/>
  <c r="H123" i="4"/>
  <c r="L123" i="4"/>
  <c r="E119" i="4"/>
  <c r="I119" i="4"/>
  <c r="M119" i="4"/>
  <c r="C135" i="4"/>
  <c r="C119" i="4"/>
  <c r="D101" i="4"/>
  <c r="E101" i="4"/>
  <c r="F101" i="4"/>
  <c r="G101" i="4"/>
  <c r="H101" i="4"/>
  <c r="I101" i="4"/>
  <c r="J101" i="4"/>
  <c r="K101" i="4"/>
  <c r="L101" i="4"/>
  <c r="M101" i="4"/>
  <c r="N101" i="4"/>
  <c r="C101" i="4"/>
  <c r="E8" i="19" s="1"/>
  <c r="H8" i="19" s="1"/>
  <c r="K8" i="19" s="1"/>
  <c r="N8" i="19" s="1"/>
  <c r="Q8" i="19" s="1"/>
  <c r="T8" i="19" s="1"/>
  <c r="W8" i="19" s="1"/>
  <c r="Z8" i="19" s="1"/>
  <c r="AC8" i="19" s="1"/>
  <c r="AF8" i="19" s="1"/>
  <c r="AI8" i="19" s="1"/>
  <c r="AL8" i="19" s="1"/>
  <c r="D98" i="4"/>
  <c r="E98" i="4"/>
  <c r="F98" i="4"/>
  <c r="G98" i="4"/>
  <c r="H98" i="4"/>
  <c r="I98" i="4"/>
  <c r="J98" i="4"/>
  <c r="K98" i="4"/>
  <c r="L98" i="4"/>
  <c r="M98" i="4"/>
  <c r="N98" i="4"/>
  <c r="C98" i="4"/>
  <c r="E7" i="19" s="1"/>
  <c r="H7" i="19" s="1"/>
  <c r="K7" i="19" s="1"/>
  <c r="N7" i="19" s="1"/>
  <c r="Q7" i="19" s="1"/>
  <c r="T7" i="19" s="1"/>
  <c r="W7" i="19" s="1"/>
  <c r="Z7" i="19" s="1"/>
  <c r="AC7" i="19" s="1"/>
  <c r="AF7" i="19" s="1"/>
  <c r="AI7" i="19" s="1"/>
  <c r="AL7" i="19" s="1"/>
  <c r="D95" i="4"/>
  <c r="E95" i="4"/>
  <c r="F95" i="4"/>
  <c r="G95" i="4"/>
  <c r="H95" i="4"/>
  <c r="I95" i="4"/>
  <c r="J95" i="4"/>
  <c r="K95" i="4"/>
  <c r="L95" i="4"/>
  <c r="M95" i="4"/>
  <c r="N95" i="4"/>
  <c r="C95" i="4"/>
  <c r="E6" i="19" s="1"/>
  <c r="H6" i="19" s="1"/>
  <c r="K6" i="19" s="1"/>
  <c r="N6" i="19" s="1"/>
  <c r="Q6" i="19" s="1"/>
  <c r="T6" i="19" s="1"/>
  <c r="W6" i="19" s="1"/>
  <c r="Z6" i="19" s="1"/>
  <c r="AC6" i="19" s="1"/>
  <c r="AF6" i="19" s="1"/>
  <c r="AI6" i="19" s="1"/>
  <c r="AL6" i="19" s="1"/>
  <c r="D83" i="4"/>
  <c r="E83" i="4"/>
  <c r="F83" i="4"/>
  <c r="G83" i="4"/>
  <c r="H83" i="4"/>
  <c r="I83" i="4"/>
  <c r="J83" i="4"/>
  <c r="K83" i="4"/>
  <c r="L83" i="4"/>
  <c r="M83" i="4"/>
  <c r="C83" i="4"/>
  <c r="G78" i="4"/>
  <c r="K78" i="4"/>
  <c r="D72" i="4"/>
  <c r="H72" i="4"/>
  <c r="L72" i="4"/>
  <c r="Q49" i="4"/>
  <c r="B48" i="4"/>
  <c r="D43" i="4"/>
  <c r="D134" i="4" s="1"/>
  <c r="D135" i="4" s="1"/>
  <c r="E43" i="4"/>
  <c r="E134" i="4" s="1"/>
  <c r="F43" i="4"/>
  <c r="F134" i="4" s="1"/>
  <c r="F135" i="4" s="1"/>
  <c r="G43" i="4"/>
  <c r="G134" i="4" s="1"/>
  <c r="G135" i="4" s="1"/>
  <c r="H43" i="4"/>
  <c r="H134" i="4" s="1"/>
  <c r="H135" i="4" s="1"/>
  <c r="I43" i="4"/>
  <c r="I134" i="4" s="1"/>
  <c r="J43" i="4"/>
  <c r="J134" i="4" s="1"/>
  <c r="J135" i="4" s="1"/>
  <c r="K43" i="4"/>
  <c r="K134" i="4" s="1"/>
  <c r="K135" i="4" s="1"/>
  <c r="L43" i="4"/>
  <c r="L134" i="4" s="1"/>
  <c r="L135" i="4" s="1"/>
  <c r="M43" i="4"/>
  <c r="M134" i="4" s="1"/>
  <c r="N43" i="4"/>
  <c r="N134" i="4" s="1"/>
  <c r="N135" i="4" s="1"/>
  <c r="C43" i="4"/>
  <c r="C134" i="4" s="1"/>
  <c r="Q134" i="4" s="1"/>
  <c r="D41" i="4"/>
  <c r="D130" i="4" s="1"/>
  <c r="D131" i="4" s="1"/>
  <c r="E41" i="4"/>
  <c r="E130" i="4" s="1"/>
  <c r="E131" i="4" s="1"/>
  <c r="F41" i="4"/>
  <c r="F130" i="4" s="1"/>
  <c r="F131" i="4" s="1"/>
  <c r="G41" i="4"/>
  <c r="G130" i="4" s="1"/>
  <c r="G131" i="4" s="1"/>
  <c r="H41" i="4"/>
  <c r="H130" i="4" s="1"/>
  <c r="H131" i="4" s="1"/>
  <c r="I41" i="4"/>
  <c r="I130" i="4" s="1"/>
  <c r="I131" i="4" s="1"/>
  <c r="J41" i="4"/>
  <c r="J130" i="4" s="1"/>
  <c r="J131" i="4" s="1"/>
  <c r="K41" i="4"/>
  <c r="K130" i="4" s="1"/>
  <c r="K131" i="4" s="1"/>
  <c r="L41" i="4"/>
  <c r="L130" i="4" s="1"/>
  <c r="L131" i="4" s="1"/>
  <c r="M41" i="4"/>
  <c r="M130" i="4" s="1"/>
  <c r="M131" i="4" s="1"/>
  <c r="N41" i="4"/>
  <c r="N130" i="4" s="1"/>
  <c r="N131" i="4" s="1"/>
  <c r="C41" i="4"/>
  <c r="C130" i="4" s="1"/>
  <c r="C131" i="4" s="1"/>
  <c r="D39" i="4"/>
  <c r="D126" i="4" s="1"/>
  <c r="D127" i="4" s="1"/>
  <c r="E39" i="4"/>
  <c r="E126" i="4" s="1"/>
  <c r="E127" i="4" s="1"/>
  <c r="F39" i="4"/>
  <c r="F126" i="4" s="1"/>
  <c r="F127" i="4" s="1"/>
  <c r="G39" i="4"/>
  <c r="G126" i="4" s="1"/>
  <c r="H39" i="4"/>
  <c r="H126" i="4" s="1"/>
  <c r="H127" i="4" s="1"/>
  <c r="I39" i="4"/>
  <c r="I126" i="4" s="1"/>
  <c r="I127" i="4" s="1"/>
  <c r="J39" i="4"/>
  <c r="J126" i="4" s="1"/>
  <c r="J127" i="4" s="1"/>
  <c r="K39" i="4"/>
  <c r="K126" i="4" s="1"/>
  <c r="L39" i="4"/>
  <c r="L126" i="4" s="1"/>
  <c r="L127" i="4" s="1"/>
  <c r="M39" i="4"/>
  <c r="M126" i="4" s="1"/>
  <c r="M127" i="4" s="1"/>
  <c r="N39" i="4"/>
  <c r="N126" i="4" s="1"/>
  <c r="N127" i="4" s="1"/>
  <c r="C39" i="4"/>
  <c r="C126" i="4" s="1"/>
  <c r="Q126" i="4" s="1"/>
  <c r="D37" i="4"/>
  <c r="D122" i="4" s="1"/>
  <c r="E37" i="4"/>
  <c r="E122" i="4" s="1"/>
  <c r="E123" i="4" s="1"/>
  <c r="F37" i="4"/>
  <c r="F122" i="4" s="1"/>
  <c r="F123" i="4" s="1"/>
  <c r="G37" i="4"/>
  <c r="G122" i="4" s="1"/>
  <c r="G123" i="4" s="1"/>
  <c r="H37" i="4"/>
  <c r="H122" i="4" s="1"/>
  <c r="I37" i="4"/>
  <c r="I122" i="4" s="1"/>
  <c r="I123" i="4" s="1"/>
  <c r="J37" i="4"/>
  <c r="J122" i="4" s="1"/>
  <c r="J123" i="4" s="1"/>
  <c r="K37" i="4"/>
  <c r="K122" i="4" s="1"/>
  <c r="K123" i="4" s="1"/>
  <c r="L37" i="4"/>
  <c r="L122" i="4" s="1"/>
  <c r="M37" i="4"/>
  <c r="M122" i="4" s="1"/>
  <c r="M123" i="4" s="1"/>
  <c r="N37" i="4"/>
  <c r="N122" i="4" s="1"/>
  <c r="N123" i="4" s="1"/>
  <c r="C37" i="4"/>
  <c r="C122" i="4" s="1"/>
  <c r="Q122" i="4" s="1"/>
  <c r="D35" i="4"/>
  <c r="D118" i="4" s="1"/>
  <c r="D119" i="4" s="1"/>
  <c r="E35" i="4"/>
  <c r="E118" i="4" s="1"/>
  <c r="F35" i="4"/>
  <c r="F118" i="4" s="1"/>
  <c r="F119" i="4" s="1"/>
  <c r="G35" i="4"/>
  <c r="G118" i="4" s="1"/>
  <c r="G119" i="4" s="1"/>
  <c r="H35" i="4"/>
  <c r="H118" i="4" s="1"/>
  <c r="H119" i="4" s="1"/>
  <c r="I35" i="4"/>
  <c r="I118" i="4" s="1"/>
  <c r="J35" i="4"/>
  <c r="J118" i="4" s="1"/>
  <c r="J119" i="4" s="1"/>
  <c r="K35" i="4"/>
  <c r="K118" i="4" s="1"/>
  <c r="K119" i="4" s="1"/>
  <c r="L35" i="4"/>
  <c r="L118" i="4" s="1"/>
  <c r="L119" i="4" s="1"/>
  <c r="M35" i="4"/>
  <c r="M118" i="4" s="1"/>
  <c r="N35" i="4"/>
  <c r="N118" i="4" s="1"/>
  <c r="N119" i="4" s="1"/>
  <c r="C35" i="4"/>
  <c r="C118" i="4" s="1"/>
  <c r="Q118" i="4" s="1"/>
  <c r="D31" i="4"/>
  <c r="D108" i="4" s="1"/>
  <c r="D109" i="4" s="1"/>
  <c r="E31" i="4"/>
  <c r="E108" i="4" s="1"/>
  <c r="E109" i="4" s="1"/>
  <c r="F31" i="4"/>
  <c r="F108" i="4" s="1"/>
  <c r="F109" i="4" s="1"/>
  <c r="G31" i="4"/>
  <c r="G108" i="4" s="1"/>
  <c r="G109" i="4" s="1"/>
  <c r="H31" i="4"/>
  <c r="H108" i="4" s="1"/>
  <c r="H109" i="4" s="1"/>
  <c r="I31" i="4"/>
  <c r="I108" i="4" s="1"/>
  <c r="I109" i="4" s="1"/>
  <c r="J31" i="4"/>
  <c r="J108" i="4" s="1"/>
  <c r="J109" i="4" s="1"/>
  <c r="K31" i="4"/>
  <c r="K108" i="4" s="1"/>
  <c r="K109" i="4" s="1"/>
  <c r="L31" i="4"/>
  <c r="L108" i="4" s="1"/>
  <c r="L109" i="4" s="1"/>
  <c r="M31" i="4"/>
  <c r="M108" i="4" s="1"/>
  <c r="M109" i="4" s="1"/>
  <c r="N31" i="4"/>
  <c r="N108" i="4" s="1"/>
  <c r="N110" i="4" s="1"/>
  <c r="C31" i="4"/>
  <c r="C108" i="4" s="1"/>
  <c r="C109" i="4" s="1"/>
  <c r="D29" i="4"/>
  <c r="D104" i="4" s="1"/>
  <c r="D105" i="4" s="1"/>
  <c r="E29" i="4"/>
  <c r="E104" i="4" s="1"/>
  <c r="E105" i="4" s="1"/>
  <c r="F29" i="4"/>
  <c r="F104" i="4" s="1"/>
  <c r="Q104" i="4" s="1"/>
  <c r="G29" i="4"/>
  <c r="G104" i="4" s="1"/>
  <c r="G105" i="4" s="1"/>
  <c r="H29" i="4"/>
  <c r="H104" i="4" s="1"/>
  <c r="H105" i="4" s="1"/>
  <c r="I29" i="4"/>
  <c r="I104" i="4" s="1"/>
  <c r="I105" i="4" s="1"/>
  <c r="J29" i="4"/>
  <c r="J104" i="4" s="1"/>
  <c r="J105" i="4" s="1"/>
  <c r="K29" i="4"/>
  <c r="K104" i="4" s="1"/>
  <c r="K105" i="4" s="1"/>
  <c r="L29" i="4"/>
  <c r="L104" i="4" s="1"/>
  <c r="L105" i="4" s="1"/>
  <c r="M29" i="4"/>
  <c r="M104" i="4" s="1"/>
  <c r="M105" i="4" s="1"/>
  <c r="N29" i="4"/>
  <c r="N104" i="4" s="1"/>
  <c r="N105" i="4" s="1"/>
  <c r="C29" i="4"/>
  <c r="C104" i="4" s="1"/>
  <c r="C105" i="4" s="1"/>
  <c r="D24" i="4"/>
  <c r="D91" i="4" s="1"/>
  <c r="D92" i="4" s="1"/>
  <c r="E24" i="4"/>
  <c r="E91" i="4" s="1"/>
  <c r="E92" i="4" s="1"/>
  <c r="F24" i="4"/>
  <c r="F91" i="4" s="1"/>
  <c r="F92" i="4" s="1"/>
  <c r="G24" i="4"/>
  <c r="G91" i="4" s="1"/>
  <c r="G92" i="4" s="1"/>
  <c r="H24" i="4"/>
  <c r="H91" i="4" s="1"/>
  <c r="H92" i="4" s="1"/>
  <c r="I24" i="4"/>
  <c r="I91" i="4" s="1"/>
  <c r="I92" i="4" s="1"/>
  <c r="J24" i="4"/>
  <c r="J91" i="4" s="1"/>
  <c r="J92" i="4" s="1"/>
  <c r="K24" i="4"/>
  <c r="K91" i="4" s="1"/>
  <c r="K92" i="4" s="1"/>
  <c r="L24" i="4"/>
  <c r="L91" i="4" s="1"/>
  <c r="L92" i="4" s="1"/>
  <c r="M24" i="4"/>
  <c r="M91" i="4" s="1"/>
  <c r="M92" i="4" s="1"/>
  <c r="N24" i="4"/>
  <c r="N91" i="4" s="1"/>
  <c r="N92" i="4" s="1"/>
  <c r="C24" i="4"/>
  <c r="C91" i="4" s="1"/>
  <c r="Q91" i="4" s="1"/>
  <c r="D22" i="4"/>
  <c r="D87" i="4" s="1"/>
  <c r="D88" i="4" s="1"/>
  <c r="E22" i="4"/>
  <c r="E87" i="4" s="1"/>
  <c r="E88" i="4" s="1"/>
  <c r="F22" i="4"/>
  <c r="F87" i="4" s="1"/>
  <c r="F88" i="4" s="1"/>
  <c r="G22" i="4"/>
  <c r="G87" i="4" s="1"/>
  <c r="G88" i="4" s="1"/>
  <c r="H22" i="4"/>
  <c r="H87" i="4" s="1"/>
  <c r="H88" i="4" s="1"/>
  <c r="I22" i="4"/>
  <c r="I87" i="4" s="1"/>
  <c r="I88" i="4" s="1"/>
  <c r="J22" i="4"/>
  <c r="J87" i="4" s="1"/>
  <c r="J88" i="4" s="1"/>
  <c r="K22" i="4"/>
  <c r="K87" i="4" s="1"/>
  <c r="K88" i="4" s="1"/>
  <c r="L22" i="4"/>
  <c r="L87" i="4" s="1"/>
  <c r="L88" i="4" s="1"/>
  <c r="M22" i="4"/>
  <c r="M87" i="4" s="1"/>
  <c r="M88" i="4" s="1"/>
  <c r="N22" i="4"/>
  <c r="N87" i="4" s="1"/>
  <c r="N88" i="4" s="1"/>
  <c r="C22" i="4"/>
  <c r="C87" i="4" s="1"/>
  <c r="C88" i="4" s="1"/>
  <c r="C18" i="4"/>
  <c r="C77" i="4" s="1"/>
  <c r="D18" i="4"/>
  <c r="D77" i="4" s="1"/>
  <c r="E18" i="4"/>
  <c r="E77" i="4" s="1"/>
  <c r="F18" i="4"/>
  <c r="F77" i="4" s="1"/>
  <c r="G18" i="4"/>
  <c r="G77" i="4" s="1"/>
  <c r="H18" i="4"/>
  <c r="H77" i="4" s="1"/>
  <c r="I18" i="4"/>
  <c r="I77" i="4" s="1"/>
  <c r="J18" i="4"/>
  <c r="J77" i="4" s="1"/>
  <c r="K18" i="4"/>
  <c r="K77" i="4" s="1"/>
  <c r="L18" i="4"/>
  <c r="L77" i="4" s="1"/>
  <c r="M18" i="4"/>
  <c r="M77" i="4" s="1"/>
  <c r="N18" i="4"/>
  <c r="N77" i="4" s="1"/>
  <c r="C16" i="4"/>
  <c r="C75" i="4" s="1"/>
  <c r="Q75" i="4" s="1"/>
  <c r="D16" i="4"/>
  <c r="D75" i="4" s="1"/>
  <c r="E16" i="4"/>
  <c r="E75" i="4" s="1"/>
  <c r="F16" i="4"/>
  <c r="F75" i="4" s="1"/>
  <c r="F78" i="4" s="1"/>
  <c r="G16" i="4"/>
  <c r="G75" i="4" s="1"/>
  <c r="H16" i="4"/>
  <c r="H75" i="4" s="1"/>
  <c r="I16" i="4"/>
  <c r="I75" i="4" s="1"/>
  <c r="J16" i="4"/>
  <c r="J75" i="4" s="1"/>
  <c r="J78" i="4" s="1"/>
  <c r="K16" i="4"/>
  <c r="K75" i="4" s="1"/>
  <c r="L16" i="4"/>
  <c r="L75" i="4" s="1"/>
  <c r="M16" i="4"/>
  <c r="M75" i="4" s="1"/>
  <c r="M78" i="4" s="1"/>
  <c r="N16" i="4"/>
  <c r="N75" i="4" s="1"/>
  <c r="N79" i="4" s="1"/>
  <c r="D14" i="4"/>
  <c r="D71" i="4" s="1"/>
  <c r="E14" i="4"/>
  <c r="E71" i="4" s="1"/>
  <c r="E72" i="4" s="1"/>
  <c r="F14" i="4"/>
  <c r="F71" i="4" s="1"/>
  <c r="F72" i="4" s="1"/>
  <c r="G14" i="4"/>
  <c r="G71" i="4" s="1"/>
  <c r="G72" i="4" s="1"/>
  <c r="H14" i="4"/>
  <c r="H71" i="4" s="1"/>
  <c r="I14" i="4"/>
  <c r="I71" i="4" s="1"/>
  <c r="I72" i="4" s="1"/>
  <c r="J14" i="4"/>
  <c r="J71" i="4" s="1"/>
  <c r="J72" i="4" s="1"/>
  <c r="K14" i="4"/>
  <c r="K71" i="4" s="1"/>
  <c r="K72" i="4" s="1"/>
  <c r="L14" i="4"/>
  <c r="L71" i="4" s="1"/>
  <c r="M14" i="4"/>
  <c r="M71" i="4" s="1"/>
  <c r="M72" i="4" s="1"/>
  <c r="N14" i="4"/>
  <c r="N71" i="4" s="1"/>
  <c r="N72" i="4" s="1"/>
  <c r="C14" i="4"/>
  <c r="C71" i="4" s="1"/>
  <c r="Q71" i="4" s="1"/>
  <c r="D8" i="4"/>
  <c r="E8" i="4"/>
  <c r="F8" i="4"/>
  <c r="G8" i="4"/>
  <c r="H8" i="4"/>
  <c r="I8" i="4"/>
  <c r="J8" i="4"/>
  <c r="K8" i="4"/>
  <c r="L8" i="4"/>
  <c r="M8" i="4"/>
  <c r="N8" i="4"/>
  <c r="D4" i="4"/>
  <c r="E4" i="4"/>
  <c r="F4" i="4"/>
  <c r="G4" i="4"/>
  <c r="H4" i="4"/>
  <c r="I4" i="4"/>
  <c r="J4" i="4"/>
  <c r="K4" i="4"/>
  <c r="L4" i="4"/>
  <c r="M4" i="4"/>
  <c r="N4" i="4"/>
  <c r="C8" i="4"/>
  <c r="C4" i="4"/>
  <c r="B4" i="4"/>
  <c r="B50" i="4" s="1"/>
  <c r="B25" i="19" s="1"/>
  <c r="D25" i="19" s="1"/>
  <c r="K17" i="3"/>
  <c r="C17" i="3"/>
  <c r="K16" i="3"/>
  <c r="C16" i="3"/>
  <c r="K15" i="3"/>
  <c r="C15" i="3"/>
  <c r="K14" i="3"/>
  <c r="C14" i="3"/>
  <c r="K13" i="3"/>
  <c r="C13" i="3"/>
  <c r="K12" i="3"/>
  <c r="C12" i="3"/>
  <c r="K11" i="3"/>
  <c r="C11" i="3"/>
  <c r="K10" i="3"/>
  <c r="C10" i="3"/>
  <c r="K9" i="3"/>
  <c r="C9" i="3"/>
  <c r="K8" i="3"/>
  <c r="C8" i="3"/>
  <c r="K7" i="3"/>
  <c r="C7" i="3"/>
  <c r="K6" i="3"/>
  <c r="C6" i="3"/>
  <c r="K5" i="3"/>
  <c r="C5" i="3"/>
  <c r="W46" i="19" l="1"/>
  <c r="Y46" i="19" s="1"/>
  <c r="F280" i="20"/>
  <c r="H280" i="20" s="1"/>
  <c r="F269" i="20"/>
  <c r="H269" i="20" s="1"/>
  <c r="AF45" i="19"/>
  <c r="AH45" i="19" s="1"/>
  <c r="F265" i="20"/>
  <c r="H265" i="20" s="1"/>
  <c r="T45" i="19"/>
  <c r="V45" i="19" s="1"/>
  <c r="F261" i="20"/>
  <c r="H261" i="20" s="1"/>
  <c r="H45" i="19"/>
  <c r="J45" i="19" s="1"/>
  <c r="F283" i="20"/>
  <c r="H283" i="20" s="1"/>
  <c r="AF46" i="19"/>
  <c r="AH46" i="19" s="1"/>
  <c r="T46" i="19"/>
  <c r="V46" i="19" s="1"/>
  <c r="F279" i="20"/>
  <c r="H279" i="20" s="1"/>
  <c r="F275" i="20"/>
  <c r="H275" i="20" s="1"/>
  <c r="H46" i="19"/>
  <c r="J46" i="19" s="1"/>
  <c r="C72" i="4"/>
  <c r="C78" i="4"/>
  <c r="Q78" i="4" s="1"/>
  <c r="C123" i="4"/>
  <c r="Q87" i="4"/>
  <c r="Q130" i="4"/>
  <c r="W45" i="19"/>
  <c r="Y45" i="19" s="1"/>
  <c r="F266" i="20"/>
  <c r="H266" i="20" s="1"/>
  <c r="K45" i="19"/>
  <c r="M45" i="19" s="1"/>
  <c r="F262" i="20"/>
  <c r="H262" i="20" s="1"/>
  <c r="F276" i="20"/>
  <c r="H276" i="20" s="1"/>
  <c r="K46" i="19"/>
  <c r="M46" i="19" s="1"/>
  <c r="F105" i="4"/>
  <c r="AC45" i="19"/>
  <c r="AE45" i="19" s="1"/>
  <c r="F268" i="20"/>
  <c r="H268" i="20" s="1"/>
  <c r="Q45" i="19"/>
  <c r="S45" i="19" s="1"/>
  <c r="F264" i="20"/>
  <c r="H264" i="20" s="1"/>
  <c r="E45" i="19"/>
  <c r="F260" i="20"/>
  <c r="F282" i="20"/>
  <c r="H282" i="20" s="1"/>
  <c r="AC46" i="19"/>
  <c r="AE46" i="19" s="1"/>
  <c r="Q46" i="19"/>
  <c r="S46" i="19" s="1"/>
  <c r="F278" i="20"/>
  <c r="H278" i="20" s="1"/>
  <c r="F274" i="20"/>
  <c r="E46" i="19"/>
  <c r="I78" i="4"/>
  <c r="E78" i="4"/>
  <c r="C127" i="4"/>
  <c r="Q108" i="4"/>
  <c r="F270" i="20"/>
  <c r="H270" i="20" s="1"/>
  <c r="AI45" i="19"/>
  <c r="AK45" i="19" s="1"/>
  <c r="AI46" i="19"/>
  <c r="AK46" i="19" s="1"/>
  <c r="F284" i="20"/>
  <c r="H284" i="20" s="1"/>
  <c r="F271" i="20"/>
  <c r="H271" i="20" s="1"/>
  <c r="AL45" i="19"/>
  <c r="AM45" i="19" s="1"/>
  <c r="F267" i="20"/>
  <c r="H267" i="20" s="1"/>
  <c r="Z45" i="19"/>
  <c r="AB45" i="19" s="1"/>
  <c r="F263" i="20"/>
  <c r="H263" i="20" s="1"/>
  <c r="N45" i="19"/>
  <c r="P45" i="19" s="1"/>
  <c r="F285" i="20"/>
  <c r="H285" i="20" s="1"/>
  <c r="AL46" i="19"/>
  <c r="AM46" i="19" s="1"/>
  <c r="Z46" i="19"/>
  <c r="AB46" i="19" s="1"/>
  <c r="F281" i="20"/>
  <c r="H281" i="20" s="1"/>
  <c r="N46" i="19"/>
  <c r="P46" i="19" s="1"/>
  <c r="F277" i="20"/>
  <c r="H277" i="20" s="1"/>
  <c r="L78" i="4"/>
  <c r="H78" i="4"/>
  <c r="D78" i="4"/>
  <c r="C92" i="4"/>
  <c r="Q77" i="4"/>
  <c r="M8" i="19"/>
  <c r="AQ8" i="19" s="1"/>
  <c r="Y7" i="19"/>
  <c r="AB7" i="19"/>
  <c r="AN7" i="19"/>
  <c r="V8" i="19"/>
  <c r="Y8" i="19"/>
  <c r="AN8" i="19"/>
  <c r="J6" i="19"/>
  <c r="P6" i="19"/>
  <c r="S6" i="19"/>
  <c r="AK6" i="19"/>
  <c r="AM6" i="19" s="1"/>
  <c r="AM51" i="19" s="1"/>
  <c r="G8" i="19"/>
  <c r="AB6" i="19"/>
  <c r="AE6" i="19"/>
  <c r="AH8" i="19"/>
  <c r="AK7" i="19"/>
  <c r="AM7" i="19" s="1"/>
  <c r="AM50" i="19" s="1"/>
  <c r="E5" i="4"/>
  <c r="E59" i="4" s="1"/>
  <c r="E58" i="4"/>
  <c r="H9" i="4"/>
  <c r="H67" i="4" s="1"/>
  <c r="T24" i="19"/>
  <c r="V24" i="19" s="1"/>
  <c r="H68" i="4"/>
  <c r="J5" i="4"/>
  <c r="J59" i="4" s="1"/>
  <c r="J58" i="4"/>
  <c r="M9" i="4"/>
  <c r="M67" i="4" s="1"/>
  <c r="G349" i="20" s="1"/>
  <c r="M68" i="4"/>
  <c r="AI24" i="19"/>
  <c r="E32" i="4"/>
  <c r="E112" i="4" s="1"/>
  <c r="E68" i="4"/>
  <c r="K24" i="19"/>
  <c r="M24" i="19" s="1"/>
  <c r="K5" i="4"/>
  <c r="K59" i="4" s="1"/>
  <c r="K58" i="4"/>
  <c r="AL24" i="19"/>
  <c r="AM24" i="19" s="1"/>
  <c r="N68" i="4"/>
  <c r="F9" i="4"/>
  <c r="F67" i="4" s="1"/>
  <c r="F68" i="4"/>
  <c r="N24" i="19"/>
  <c r="P24" i="19" s="1"/>
  <c r="Q79" i="4"/>
  <c r="AL14" i="19"/>
  <c r="Q50" i="4"/>
  <c r="O14" i="14"/>
  <c r="O18" i="14"/>
  <c r="O25" i="14"/>
  <c r="O31" i="14"/>
  <c r="O41" i="14"/>
  <c r="O58" i="14"/>
  <c r="P91" i="14"/>
  <c r="C36" i="16"/>
  <c r="G36" i="16"/>
  <c r="K36" i="16"/>
  <c r="B53" i="19"/>
  <c r="B55" i="19" s="1"/>
  <c r="G6" i="19"/>
  <c r="J7" i="19"/>
  <c r="M6" i="19"/>
  <c r="P7" i="19"/>
  <c r="S7" i="19"/>
  <c r="V6" i="19"/>
  <c r="AB8" i="19"/>
  <c r="AE7" i="19"/>
  <c r="AH6" i="19"/>
  <c r="AK8" i="19"/>
  <c r="AM8" i="19" s="1"/>
  <c r="AM49" i="19" s="1"/>
  <c r="M5" i="4"/>
  <c r="M59" i="4" s="1"/>
  <c r="M140" i="4" s="1"/>
  <c r="M58" i="4"/>
  <c r="I5" i="4"/>
  <c r="I59" i="4" s="1"/>
  <c r="I58" i="4"/>
  <c r="L9" i="4"/>
  <c r="L67" i="4" s="1"/>
  <c r="AF24" i="19"/>
  <c r="AH24" i="19" s="1"/>
  <c r="L68" i="4"/>
  <c r="D9" i="4"/>
  <c r="D67" i="4" s="1"/>
  <c r="H24" i="19"/>
  <c r="D68" i="4"/>
  <c r="Q110" i="4"/>
  <c r="AL16" i="19"/>
  <c r="N5" i="4"/>
  <c r="N59" i="4" s="1"/>
  <c r="N58" i="4"/>
  <c r="F5" i="4"/>
  <c r="F59" i="4" s="1"/>
  <c r="F140" i="4" s="1"/>
  <c r="F58" i="4"/>
  <c r="I9" i="4"/>
  <c r="I67" i="4" s="1"/>
  <c r="I65" i="4" s="1"/>
  <c r="I68" i="4"/>
  <c r="W24" i="19"/>
  <c r="Y24" i="19" s="1"/>
  <c r="Q84" i="4"/>
  <c r="AL15" i="19"/>
  <c r="C68" i="4"/>
  <c r="E24" i="19"/>
  <c r="G24" i="19" s="1"/>
  <c r="G5" i="4"/>
  <c r="G59" i="4" s="1"/>
  <c r="G58" i="4"/>
  <c r="J68" i="4"/>
  <c r="Z24" i="19"/>
  <c r="AB24" i="19" s="1"/>
  <c r="C5" i="4"/>
  <c r="C59" i="4" s="1"/>
  <c r="C58" i="4"/>
  <c r="L5" i="4"/>
  <c r="L59" i="4" s="1"/>
  <c r="L58" i="4"/>
  <c r="H5" i="4"/>
  <c r="H59" i="4" s="1"/>
  <c r="H58" i="4"/>
  <c r="D5" i="4"/>
  <c r="D59" i="4" s="1"/>
  <c r="D140" i="4" s="1"/>
  <c r="D58" i="4"/>
  <c r="AC24" i="19"/>
  <c r="AE24" i="19" s="1"/>
  <c r="K68" i="4"/>
  <c r="G9" i="4"/>
  <c r="G67" i="4" s="1"/>
  <c r="G68" i="4"/>
  <c r="Q24" i="19"/>
  <c r="S24" i="19" s="1"/>
  <c r="Q48" i="4"/>
  <c r="B2" i="19"/>
  <c r="Q5" i="19"/>
  <c r="AC5" i="19"/>
  <c r="K33" i="16"/>
  <c r="AN6" i="19"/>
  <c r="G7" i="19"/>
  <c r="J8" i="19"/>
  <c r="M7" i="19"/>
  <c r="AQ7" i="19" s="1"/>
  <c r="P8" i="19"/>
  <c r="S8" i="19"/>
  <c r="V7" i="19"/>
  <c r="Y6" i="19"/>
  <c r="AE8" i="19"/>
  <c r="AH7" i="19"/>
  <c r="B8" i="20"/>
  <c r="B8" i="24" s="1"/>
  <c r="B6" i="20"/>
  <c r="B6" i="24" s="1"/>
  <c r="B48" i="20"/>
  <c r="B48" i="24" s="1"/>
  <c r="B50" i="20"/>
  <c r="B50" i="24" s="1"/>
  <c r="B7" i="20"/>
  <c r="B7" i="24" s="1"/>
  <c r="B49" i="20"/>
  <c r="B49" i="24" s="1"/>
  <c r="G17" i="32" s="1"/>
  <c r="E31" i="10"/>
  <c r="AF25" i="19" s="1"/>
  <c r="AF5" i="19" s="1"/>
  <c r="N5" i="19"/>
  <c r="Z5" i="19"/>
  <c r="G25" i="19"/>
  <c r="G33" i="32"/>
  <c r="G33" i="34"/>
  <c r="G37" i="32"/>
  <c r="G37" i="34"/>
  <c r="G19" i="32"/>
  <c r="G19" i="34"/>
  <c r="G13" i="34"/>
  <c r="G13" i="32"/>
  <c r="G32" i="34"/>
  <c r="C27" i="34" s="1"/>
  <c r="G32" i="32"/>
  <c r="G12" i="32"/>
  <c r="G12" i="34"/>
  <c r="G15" i="34"/>
  <c r="G15" i="32"/>
  <c r="W5" i="19"/>
  <c r="E5" i="19"/>
  <c r="G5" i="19" s="1"/>
  <c r="H5" i="19"/>
  <c r="T5" i="19"/>
  <c r="V5" i="19" s="1"/>
  <c r="S25" i="19"/>
  <c r="Y25" i="19"/>
  <c r="AB25" i="19"/>
  <c r="AE25" i="19"/>
  <c r="G7" i="34"/>
  <c r="G7" i="32"/>
  <c r="G11" i="34"/>
  <c r="G11" i="32"/>
  <c r="G14" i="32"/>
  <c r="G14" i="34"/>
  <c r="G10" i="32"/>
  <c r="G10" i="34"/>
  <c r="F35" i="20"/>
  <c r="H35" i="20" s="1"/>
  <c r="J35" i="20" s="1"/>
  <c r="K35" i="20" s="1"/>
  <c r="F7" i="20"/>
  <c r="H7" i="20" s="1"/>
  <c r="J7" i="20" s="1"/>
  <c r="J10" i="20" s="1"/>
  <c r="K10" i="20" s="1"/>
  <c r="G8" i="32"/>
  <c r="G8" i="34"/>
  <c r="G20" i="32"/>
  <c r="G20" i="34"/>
  <c r="G38" i="34"/>
  <c r="C32" i="34" s="1"/>
  <c r="G38" i="32"/>
  <c r="C32" i="32" s="1"/>
  <c r="K5" i="19"/>
  <c r="M25" i="19"/>
  <c r="P25" i="19"/>
  <c r="V25" i="19"/>
  <c r="F75" i="20"/>
  <c r="H75" i="20" s="1"/>
  <c r="G18" i="34"/>
  <c r="G18" i="32"/>
  <c r="G16" i="34"/>
  <c r="G16" i="32"/>
  <c r="AP44" i="19"/>
  <c r="AP43" i="19"/>
  <c r="AP42" i="19"/>
  <c r="AP41" i="19"/>
  <c r="AP40" i="19"/>
  <c r="AP39" i="19"/>
  <c r="AP38" i="19"/>
  <c r="AP37" i="19"/>
  <c r="AP36" i="19"/>
  <c r="AP35" i="19"/>
  <c r="AP34" i="19"/>
  <c r="AP33" i="19"/>
  <c r="AP32" i="19"/>
  <c r="AP31" i="19"/>
  <c r="AP51" i="19"/>
  <c r="AP50" i="19"/>
  <c r="AP49" i="19"/>
  <c r="AP48" i="19"/>
  <c r="AP8" i="19"/>
  <c r="AP7" i="19"/>
  <c r="AP6" i="19"/>
  <c r="C3" i="20"/>
  <c r="C3" i="24" s="1"/>
  <c r="H4" i="20"/>
  <c r="F19" i="10"/>
  <c r="O77" i="14"/>
  <c r="O85" i="14"/>
  <c r="B33" i="16"/>
  <c r="F33" i="16"/>
  <c r="N36" i="16"/>
  <c r="E29" i="12"/>
  <c r="O36" i="14"/>
  <c r="O45" i="14"/>
  <c r="O73" i="14"/>
  <c r="O81" i="14"/>
  <c r="O89" i="14"/>
  <c r="O34" i="15"/>
  <c r="E36" i="16"/>
  <c r="I36" i="16"/>
  <c r="M36" i="16"/>
  <c r="C33" i="16"/>
  <c r="O67" i="14"/>
  <c r="J33" i="16"/>
  <c r="E32" i="10"/>
  <c r="O62" i="14"/>
  <c r="D36" i="16"/>
  <c r="H36" i="16"/>
  <c r="L36" i="16"/>
  <c r="N33" i="16"/>
  <c r="C5" i="20"/>
  <c r="C5" i="24" s="1"/>
  <c r="J48" i="20"/>
  <c r="AQ50" i="19"/>
  <c r="AQ48" i="19"/>
  <c r="AQ44" i="19"/>
  <c r="AQ42" i="19"/>
  <c r="AQ40" i="19"/>
  <c r="AQ38" i="19"/>
  <c r="AQ36" i="19"/>
  <c r="AQ34" i="19"/>
  <c r="AQ32" i="19"/>
  <c r="B58" i="19"/>
  <c r="D58" i="19" s="1"/>
  <c r="AQ51" i="19"/>
  <c r="AQ49" i="19"/>
  <c r="AQ43" i="19"/>
  <c r="AQ41" i="19"/>
  <c r="AQ39" i="19"/>
  <c r="AQ37" i="19"/>
  <c r="AQ35" i="19"/>
  <c r="AQ33" i="19"/>
  <c r="AQ31" i="19"/>
  <c r="P5" i="19"/>
  <c r="Y5" i="19"/>
  <c r="AB5" i="19"/>
  <c r="AE5" i="19"/>
  <c r="I100" i="20"/>
  <c r="C31" i="20" s="1"/>
  <c r="C31" i="24" s="1"/>
  <c r="G11" i="33" s="1"/>
  <c r="H146" i="20"/>
  <c r="M146" i="20" s="1"/>
  <c r="H202" i="20"/>
  <c r="M202" i="20" s="1"/>
  <c r="H258" i="20"/>
  <c r="M258" i="20" s="1"/>
  <c r="H314" i="20"/>
  <c r="M314" i="20" s="1"/>
  <c r="C33" i="20"/>
  <c r="C33" i="24" s="1"/>
  <c r="G13" i="33" s="1"/>
  <c r="H72" i="20"/>
  <c r="M72" i="20" s="1"/>
  <c r="H101" i="20"/>
  <c r="M101" i="20" s="1"/>
  <c r="H174" i="20"/>
  <c r="M174" i="20" s="1"/>
  <c r="H230" i="20"/>
  <c r="M230" i="20" s="1"/>
  <c r="H50" i="20"/>
  <c r="B23" i="20" s="1"/>
  <c r="B23" i="24" s="1"/>
  <c r="I75" i="20"/>
  <c r="C6" i="20" s="1"/>
  <c r="C6" i="24" s="1"/>
  <c r="H115" i="20"/>
  <c r="M115" i="20" s="1"/>
  <c r="H132" i="20"/>
  <c r="M132" i="20" s="1"/>
  <c r="H188" i="20"/>
  <c r="M188" i="20" s="1"/>
  <c r="H244" i="20"/>
  <c r="M244" i="20" s="1"/>
  <c r="I114" i="20"/>
  <c r="C32" i="20" s="1"/>
  <c r="C32" i="24" s="1"/>
  <c r="G12" i="33" s="1"/>
  <c r="H160" i="20"/>
  <c r="M160" i="20" s="1"/>
  <c r="H216" i="20"/>
  <c r="M216" i="20" s="1"/>
  <c r="K24" i="20"/>
  <c r="B24" i="20" s="1"/>
  <c r="B24" i="24" s="1"/>
  <c r="H76" i="20"/>
  <c r="C50" i="20"/>
  <c r="C50" i="24" s="1"/>
  <c r="G23" i="33" s="1"/>
  <c r="M77" i="20"/>
  <c r="K3" i="20"/>
  <c r="H10" i="20"/>
  <c r="H11" i="20" s="1"/>
  <c r="I71" i="20"/>
  <c r="C30" i="20" s="1"/>
  <c r="C30" i="24" s="1"/>
  <c r="F76" i="20"/>
  <c r="I131" i="20"/>
  <c r="C34" i="20" s="1"/>
  <c r="C34" i="24" s="1"/>
  <c r="G14" i="33" s="1"/>
  <c r="I145" i="20"/>
  <c r="C35" i="20" s="1"/>
  <c r="C35" i="24" s="1"/>
  <c r="G15" i="33" s="1"/>
  <c r="I159" i="20"/>
  <c r="C36" i="20" s="1"/>
  <c r="C36" i="24" s="1"/>
  <c r="G16" i="33" s="1"/>
  <c r="I173" i="20"/>
  <c r="C37" i="20" s="1"/>
  <c r="C37" i="24" s="1"/>
  <c r="G17" i="33" s="1"/>
  <c r="I187" i="20"/>
  <c r="C38" i="20" s="1"/>
  <c r="C38" i="24" s="1"/>
  <c r="G18" i="33" s="1"/>
  <c r="I201" i="20"/>
  <c r="C39" i="20" s="1"/>
  <c r="C39" i="24" s="1"/>
  <c r="G19" i="33" s="1"/>
  <c r="I215" i="20"/>
  <c r="C40" i="20" s="1"/>
  <c r="C40" i="24" s="1"/>
  <c r="G30" i="33" s="1"/>
  <c r="C32" i="33" s="1"/>
  <c r="I229" i="20"/>
  <c r="C41" i="20" s="1"/>
  <c r="C41" i="24" s="1"/>
  <c r="G20" i="33" s="1"/>
  <c r="I243" i="20"/>
  <c r="C42" i="20" s="1"/>
  <c r="C42" i="24" s="1"/>
  <c r="G31" i="33" s="1"/>
  <c r="I257" i="20"/>
  <c r="C43" i="20" s="1"/>
  <c r="C43" i="24" s="1"/>
  <c r="G32" i="33" s="1"/>
  <c r="I313" i="20"/>
  <c r="C47" i="20" s="1"/>
  <c r="C47" i="24" s="1"/>
  <c r="G36" i="33" s="1"/>
  <c r="J38" i="20"/>
  <c r="O4" i="4"/>
  <c r="O14" i="4"/>
  <c r="P14" i="4" s="1"/>
  <c r="Q95" i="4"/>
  <c r="Q101" i="4"/>
  <c r="Q105" i="4"/>
  <c r="Q127" i="4"/>
  <c r="B139" i="4"/>
  <c r="B9" i="19"/>
  <c r="D2" i="19"/>
  <c r="Q83" i="4"/>
  <c r="Q131" i="4"/>
  <c r="J36" i="16"/>
  <c r="F36" i="16"/>
  <c r="B36" i="16"/>
  <c r="Q88" i="4"/>
  <c r="Q92" i="4"/>
  <c r="O14" i="12"/>
  <c r="Q72" i="4"/>
  <c r="Q98" i="4"/>
  <c r="Q119" i="4"/>
  <c r="Q135" i="4"/>
  <c r="Q109" i="4"/>
  <c r="Q123" i="4"/>
  <c r="O2" i="14"/>
  <c r="E33" i="16"/>
  <c r="I33" i="16"/>
  <c r="M33" i="16"/>
  <c r="F64" i="16"/>
  <c r="P32" i="15"/>
  <c r="B32" i="15"/>
  <c r="O4" i="15"/>
  <c r="O16" i="15"/>
  <c r="O21" i="15"/>
  <c r="O29" i="15"/>
  <c r="O8" i="15"/>
  <c r="O2" i="15"/>
  <c r="O12" i="15"/>
  <c r="R36" i="14"/>
  <c r="R45" i="14"/>
  <c r="G91" i="14"/>
  <c r="K91" i="14"/>
  <c r="F91" i="14"/>
  <c r="J91" i="14"/>
  <c r="R54" i="14"/>
  <c r="R62" i="14"/>
  <c r="R77" i="14"/>
  <c r="R85" i="14"/>
  <c r="E91" i="14"/>
  <c r="I91" i="14"/>
  <c r="M91" i="14"/>
  <c r="C91" i="14"/>
  <c r="R25" i="14"/>
  <c r="R31" i="14"/>
  <c r="R41" i="14"/>
  <c r="R51" i="14"/>
  <c r="R67" i="14"/>
  <c r="B8" i="14"/>
  <c r="B91" i="14" s="1"/>
  <c r="D91" i="14"/>
  <c r="H91" i="14"/>
  <c r="L91" i="14"/>
  <c r="R18" i="14"/>
  <c r="S21" i="14" s="1"/>
  <c r="R48" i="14"/>
  <c r="R58" i="14"/>
  <c r="R73" i="14"/>
  <c r="R81" i="14"/>
  <c r="R89" i="14"/>
  <c r="R14" i="14"/>
  <c r="N91" i="14"/>
  <c r="B54" i="4"/>
  <c r="F86" i="20" s="1"/>
  <c r="H86" i="20" s="1"/>
  <c r="I86" i="20" s="1"/>
  <c r="C19" i="20" s="1"/>
  <c r="C19" i="24" s="1"/>
  <c r="E44" i="4"/>
  <c r="C12" i="4"/>
  <c r="D32" i="4"/>
  <c r="M12" i="4"/>
  <c r="H32" i="4"/>
  <c r="N12" i="4"/>
  <c r="J12" i="4"/>
  <c r="F10" i="4"/>
  <c r="L32" i="4"/>
  <c r="I32" i="4"/>
  <c r="E9" i="4"/>
  <c r="K12" i="4"/>
  <c r="G10" i="4"/>
  <c r="C32" i="4"/>
  <c r="J32" i="4"/>
  <c r="F32" i="4"/>
  <c r="E12" i="4"/>
  <c r="I12" i="4"/>
  <c r="M32" i="4"/>
  <c r="K32" i="4"/>
  <c r="G32" i="4"/>
  <c r="N32" i="4"/>
  <c r="N9" i="4"/>
  <c r="J9" i="4"/>
  <c r="F12" i="4"/>
  <c r="C9" i="4"/>
  <c r="K9" i="4"/>
  <c r="G12" i="4"/>
  <c r="L12" i="4"/>
  <c r="H12" i="4"/>
  <c r="D12" i="4"/>
  <c r="M44" i="4" l="1"/>
  <c r="M112" i="4"/>
  <c r="F272" i="20"/>
  <c r="B44" i="20" s="1"/>
  <c r="B44" i="24" s="1"/>
  <c r="H260" i="20"/>
  <c r="G45" i="19"/>
  <c r="AQ45" i="19" s="1"/>
  <c r="AN45" i="19"/>
  <c r="AP45" i="19" s="1"/>
  <c r="N44" i="4"/>
  <c r="N112" i="4"/>
  <c r="F299" i="20" s="1"/>
  <c r="H299" i="20" s="1"/>
  <c r="C44" i="4"/>
  <c r="C112" i="4"/>
  <c r="M10" i="4"/>
  <c r="D44" i="4"/>
  <c r="D45" i="4" s="1"/>
  <c r="D112" i="4"/>
  <c r="G44" i="4"/>
  <c r="G112" i="4"/>
  <c r="I44" i="4"/>
  <c r="I45" i="4" s="1"/>
  <c r="I112" i="4"/>
  <c r="G17" i="34"/>
  <c r="H65" i="4"/>
  <c r="AN46" i="19"/>
  <c r="AP46" i="19" s="1"/>
  <c r="G46" i="19"/>
  <c r="AQ46" i="19" s="1"/>
  <c r="J44" i="4"/>
  <c r="J112" i="4"/>
  <c r="L10" i="4"/>
  <c r="K44" i="4"/>
  <c r="K112" i="4"/>
  <c r="F44" i="4"/>
  <c r="F112" i="4"/>
  <c r="N47" i="19" s="1"/>
  <c r="L44" i="4"/>
  <c r="L112" i="4"/>
  <c r="H44" i="4"/>
  <c r="H112" i="4"/>
  <c r="T47" i="19" s="1"/>
  <c r="L140" i="4"/>
  <c r="F286" i="20"/>
  <c r="B45" i="20" s="1"/>
  <c r="B45" i="24" s="1"/>
  <c r="H274" i="20"/>
  <c r="H36" i="20"/>
  <c r="H37" i="20" s="1"/>
  <c r="F31" i="10"/>
  <c r="J36" i="20"/>
  <c r="C27" i="32"/>
  <c r="AQ6" i="19"/>
  <c r="H61" i="4"/>
  <c r="F114" i="4"/>
  <c r="AI69" i="19"/>
  <c r="M66" i="4"/>
  <c r="E5" i="22"/>
  <c r="G5" i="22" s="1"/>
  <c r="G9" i="22" s="1"/>
  <c r="G11" i="22" s="1"/>
  <c r="G48" i="22" s="1"/>
  <c r="G318" i="20"/>
  <c r="I318" i="20" s="1"/>
  <c r="J10" i="4"/>
  <c r="J67" i="4"/>
  <c r="J65" i="4" s="1"/>
  <c r="E10" i="4"/>
  <c r="E67" i="4"/>
  <c r="E65" i="4" s="1"/>
  <c r="D61" i="4"/>
  <c r="L61" i="4"/>
  <c r="AM15" i="19"/>
  <c r="AQ15" i="19" s="1"/>
  <c r="AN15" i="19"/>
  <c r="F294" i="20"/>
  <c r="H294" i="20" s="1"/>
  <c r="W47" i="19"/>
  <c r="I114" i="4"/>
  <c r="I137" i="4" s="1"/>
  <c r="N62" i="4"/>
  <c r="I61" i="4"/>
  <c r="E28" i="22"/>
  <c r="G28" i="22" s="1"/>
  <c r="I349" i="20"/>
  <c r="F293" i="20"/>
  <c r="H293" i="20" s="1"/>
  <c r="J140" i="4"/>
  <c r="B59" i="24"/>
  <c r="G65" i="4"/>
  <c r="G140" i="4"/>
  <c r="C10" i="4"/>
  <c r="C67" i="4"/>
  <c r="F296" i="20"/>
  <c r="H296" i="20" s="1"/>
  <c r="AC47" i="19"/>
  <c r="K114" i="4"/>
  <c r="C61" i="4"/>
  <c r="Q58" i="4"/>
  <c r="Z47" i="19"/>
  <c r="F295" i="20"/>
  <c r="H295" i="20" s="1"/>
  <c r="J114" i="4"/>
  <c r="F61" i="4"/>
  <c r="AN16" i="19"/>
  <c r="AM16" i="19"/>
  <c r="AQ16" i="19" s="1"/>
  <c r="M60" i="4"/>
  <c r="M61" i="4" s="1"/>
  <c r="F57" i="20"/>
  <c r="F56" i="20"/>
  <c r="H56" i="20" s="1"/>
  <c r="AM14" i="19"/>
  <c r="AQ14" i="19" s="1"/>
  <c r="AN14" i="19"/>
  <c r="K10" i="4"/>
  <c r="K67" i="4"/>
  <c r="K65" i="4" s="1"/>
  <c r="D141" i="4"/>
  <c r="H11" i="19"/>
  <c r="G335" i="20"/>
  <c r="L141" i="4"/>
  <c r="AF11" i="19"/>
  <c r="G343" i="20"/>
  <c r="E47" i="19"/>
  <c r="F288" i="20"/>
  <c r="Q112" i="4"/>
  <c r="C114" i="4"/>
  <c r="F289" i="20"/>
  <c r="H289" i="20" s="1"/>
  <c r="H47" i="19"/>
  <c r="J47" i="19" s="1"/>
  <c r="D114" i="4"/>
  <c r="D137" i="4" s="1"/>
  <c r="F297" i="20"/>
  <c r="H297" i="20" s="1"/>
  <c r="AF47" i="19"/>
  <c r="AH47" i="19" s="1"/>
  <c r="L114" i="4"/>
  <c r="AL47" i="19"/>
  <c r="AM47" i="19" s="1"/>
  <c r="AI70" i="19"/>
  <c r="AK24" i="19"/>
  <c r="J137" i="4"/>
  <c r="J61" i="4"/>
  <c r="N10" i="4"/>
  <c r="N67" i="4"/>
  <c r="N65" i="4" s="1"/>
  <c r="N139" i="4" s="1"/>
  <c r="F292" i="20"/>
  <c r="H292" i="20" s="1"/>
  <c r="Q47" i="19"/>
  <c r="S47" i="19" s="1"/>
  <c r="G114" i="4"/>
  <c r="Q59" i="4"/>
  <c r="C140" i="4"/>
  <c r="G61" i="4"/>
  <c r="F141" i="4"/>
  <c r="N11" i="19"/>
  <c r="G337" i="20"/>
  <c r="M141" i="4"/>
  <c r="G344" i="20"/>
  <c r="AI11" i="19"/>
  <c r="K61" i="4"/>
  <c r="F290" i="20"/>
  <c r="H290" i="20" s="1"/>
  <c r="K47" i="19"/>
  <c r="E114" i="4"/>
  <c r="F298" i="20"/>
  <c r="H298" i="20" s="1"/>
  <c r="AI47" i="19"/>
  <c r="AK47" i="19" s="1"/>
  <c r="M114" i="4"/>
  <c r="E61" i="4"/>
  <c r="E137" i="4" s="1"/>
  <c r="H10" i="4"/>
  <c r="E53" i="19"/>
  <c r="E55" i="19" s="1"/>
  <c r="E20" i="19" s="1"/>
  <c r="E21" i="19" s="1"/>
  <c r="I140" i="4"/>
  <c r="D10" i="4"/>
  <c r="I10" i="4"/>
  <c r="O36" i="16"/>
  <c r="F79" i="20"/>
  <c r="H79" i="20" s="1"/>
  <c r="H80" i="20" s="1"/>
  <c r="H140" i="4"/>
  <c r="Q68" i="4"/>
  <c r="D65" i="4"/>
  <c r="L65" i="4"/>
  <c r="F65" i="4"/>
  <c r="B20" i="19"/>
  <c r="AH25" i="19"/>
  <c r="AF53" i="19"/>
  <c r="AF55" i="19" s="1"/>
  <c r="AF20" i="19" s="1"/>
  <c r="AF21" i="19" s="1"/>
  <c r="C30" i="32"/>
  <c r="C27" i="35"/>
  <c r="C30" i="35" s="1"/>
  <c r="C12" i="32"/>
  <c r="C12" i="35" s="1"/>
  <c r="C34" i="34"/>
  <c r="G32" i="35"/>
  <c r="G34" i="35" s="1"/>
  <c r="C30" i="34"/>
  <c r="G27" i="35"/>
  <c r="G30" i="35" s="1"/>
  <c r="M5" i="19"/>
  <c r="G4" i="34"/>
  <c r="C5" i="34" s="1"/>
  <c r="G4" i="32"/>
  <c r="C5" i="32" s="1"/>
  <c r="B57" i="24"/>
  <c r="C34" i="32"/>
  <c r="C32" i="35"/>
  <c r="C34" i="35" s="1"/>
  <c r="C12" i="34"/>
  <c r="G12" i="35" s="1"/>
  <c r="C27" i="33"/>
  <c r="C30" i="33" s="1"/>
  <c r="C34" i="33"/>
  <c r="E32" i="35"/>
  <c r="E34" i="35" s="1"/>
  <c r="G10" i="33"/>
  <c r="C12" i="33" s="1"/>
  <c r="E12" i="35" s="1"/>
  <c r="C17" i="34"/>
  <c r="G17" i="35" s="1"/>
  <c r="C17" i="32"/>
  <c r="C17" i="35" s="1"/>
  <c r="G5" i="34"/>
  <c r="G5" i="32"/>
  <c r="B58" i="24"/>
  <c r="M86" i="20"/>
  <c r="B28" i="20"/>
  <c r="B28" i="24" s="1"/>
  <c r="AL29" i="19"/>
  <c r="AL5" i="19" s="1"/>
  <c r="AN5" i="19" s="1"/>
  <c r="C28" i="20"/>
  <c r="C28" i="24" s="1"/>
  <c r="G8" i="33" s="1"/>
  <c r="AM29" i="19"/>
  <c r="B25" i="20"/>
  <c r="B25" i="24" s="1"/>
  <c r="AL26" i="19"/>
  <c r="AL3" i="19"/>
  <c r="C25" i="20"/>
  <c r="C25" i="24" s="1"/>
  <c r="G6" i="33" s="1"/>
  <c r="C6" i="33" s="1"/>
  <c r="AM26" i="19"/>
  <c r="Q54" i="4"/>
  <c r="B18" i="19"/>
  <c r="O91" i="14"/>
  <c r="D52" i="19"/>
  <c r="D9" i="19"/>
  <c r="M76" i="20"/>
  <c r="N77" i="20" s="1"/>
  <c r="J50" i="20"/>
  <c r="M50" i="20" s="1"/>
  <c r="K49" i="20"/>
  <c r="C23" i="20" s="1"/>
  <c r="C23" i="24" s="1"/>
  <c r="K36" i="20"/>
  <c r="C24" i="20"/>
  <c r="C24" i="24" s="1"/>
  <c r="M10" i="20"/>
  <c r="O32" i="15"/>
  <c r="O36" i="15" s="1"/>
  <c r="R8" i="14"/>
  <c r="B137" i="4"/>
  <c r="E45" i="4"/>
  <c r="C45" i="4"/>
  <c r="N45" i="4"/>
  <c r="M45" i="4"/>
  <c r="J45" i="4"/>
  <c r="H45" i="4"/>
  <c r="G45" i="4"/>
  <c r="L45" i="4"/>
  <c r="K45" i="4"/>
  <c r="F45" i="4"/>
  <c r="E140" i="4" l="1"/>
  <c r="F291" i="20"/>
  <c r="H291" i="20" s="1"/>
  <c r="H286" i="20"/>
  <c r="M286" i="20" s="1"/>
  <c r="I285" i="20"/>
  <c r="C45" i="20" s="1"/>
  <c r="C45" i="24" s="1"/>
  <c r="G34" i="33" s="1"/>
  <c r="G34" i="32"/>
  <c r="G34" i="34"/>
  <c r="H272" i="20"/>
  <c r="M272" i="20" s="1"/>
  <c r="I271" i="20"/>
  <c r="C44" i="20" s="1"/>
  <c r="C44" i="24" s="1"/>
  <c r="G33" i="33" s="1"/>
  <c r="N115" i="4"/>
  <c r="H114" i="4"/>
  <c r="H137" i="4" s="1"/>
  <c r="G35" i="32"/>
  <c r="G35" i="34"/>
  <c r="K137" i="4"/>
  <c r="Q114" i="4"/>
  <c r="M139" i="4"/>
  <c r="I139" i="4"/>
  <c r="G325" i="20" s="1"/>
  <c r="G137" i="4"/>
  <c r="F139" i="4"/>
  <c r="G322" i="20" s="1"/>
  <c r="J139" i="4"/>
  <c r="Z2" i="19" s="1"/>
  <c r="N137" i="4"/>
  <c r="H139" i="4"/>
  <c r="T2" i="19" s="1"/>
  <c r="M36" i="20"/>
  <c r="AI2" i="19"/>
  <c r="AK2" i="19" s="1"/>
  <c r="G329" i="20"/>
  <c r="I329" i="20" s="1"/>
  <c r="E41" i="22"/>
  <c r="G41" i="22" s="1"/>
  <c r="I344" i="20"/>
  <c r="E40" i="22"/>
  <c r="G40" i="22" s="1"/>
  <c r="I343" i="20"/>
  <c r="H61" i="19"/>
  <c r="J61" i="19" s="1"/>
  <c r="H17" i="19"/>
  <c r="J11" i="19"/>
  <c r="J17" i="19" s="1"/>
  <c r="N2" i="19"/>
  <c r="AB47" i="19"/>
  <c r="Z53" i="19"/>
  <c r="Z55" i="19" s="1"/>
  <c r="Z20" i="19" s="1"/>
  <c r="Z21" i="19" s="1"/>
  <c r="AE47" i="19"/>
  <c r="AC53" i="19"/>
  <c r="AC55" i="19" s="1"/>
  <c r="AC20" i="19" s="1"/>
  <c r="AC21" i="19" s="1"/>
  <c r="Y47" i="19"/>
  <c r="W53" i="19"/>
  <c r="W55" i="19" s="1"/>
  <c r="W20" i="19" s="1"/>
  <c r="W21" i="19" s="1"/>
  <c r="H141" i="4"/>
  <c r="G339" i="20"/>
  <c r="T11" i="19"/>
  <c r="M47" i="19"/>
  <c r="K53" i="19"/>
  <c r="K55" i="19" s="1"/>
  <c r="K20" i="19" s="1"/>
  <c r="K21" i="19" s="1"/>
  <c r="N61" i="19"/>
  <c r="P61" i="19" s="1"/>
  <c r="P11" i="19"/>
  <c r="P17" i="19" s="1"/>
  <c r="N17" i="19"/>
  <c r="C141" i="4"/>
  <c r="E11" i="19"/>
  <c r="G334" i="20"/>
  <c r="Q115" i="4"/>
  <c r="AL13" i="19"/>
  <c r="E32" i="22"/>
  <c r="G32" i="22" s="1"/>
  <c r="I335" i="20"/>
  <c r="G324" i="20"/>
  <c r="I141" i="4"/>
  <c r="G340" i="20"/>
  <c r="W11" i="19"/>
  <c r="E34" i="22"/>
  <c r="G34" i="22" s="1"/>
  <c r="I337" i="20"/>
  <c r="AK70" i="19"/>
  <c r="AI64" i="19"/>
  <c r="AK64" i="19" s="1"/>
  <c r="F300" i="20"/>
  <c r="B46" i="20" s="1"/>
  <c r="B46" i="24" s="1"/>
  <c r="H288" i="20"/>
  <c r="Q61" i="4"/>
  <c r="C65" i="4"/>
  <c r="Q65" i="4" s="1"/>
  <c r="Q67" i="4"/>
  <c r="G141" i="4"/>
  <c r="Q11" i="19"/>
  <c r="G338" i="20"/>
  <c r="B15" i="20"/>
  <c r="AP15" i="19"/>
  <c r="AI27" i="19"/>
  <c r="M64" i="4"/>
  <c r="Q66" i="4"/>
  <c r="P47" i="19"/>
  <c r="N53" i="19"/>
  <c r="N55" i="19" s="1"/>
  <c r="N20" i="19" s="1"/>
  <c r="N21" i="19" s="1"/>
  <c r="N140" i="4"/>
  <c r="I79" i="20"/>
  <c r="C7" i="20" s="1"/>
  <c r="C7" i="24" s="1"/>
  <c r="M81" i="20"/>
  <c r="D139" i="4"/>
  <c r="G330" i="20"/>
  <c r="I330" i="20" s="1"/>
  <c r="AL2" i="19"/>
  <c r="AM2" i="19" s="1"/>
  <c r="B14" i="20"/>
  <c r="AP14" i="19"/>
  <c r="H57" i="20"/>
  <c r="H58" i="20" s="1"/>
  <c r="F58" i="20"/>
  <c r="B27" i="20" s="1"/>
  <c r="B27" i="24" s="1"/>
  <c r="E141" i="4"/>
  <c r="G336" i="20"/>
  <c r="K11" i="19"/>
  <c r="J141" i="4"/>
  <c r="Z11" i="19"/>
  <c r="G341" i="20"/>
  <c r="AI61" i="19"/>
  <c r="AK61" i="19" s="1"/>
  <c r="AI17" i="19"/>
  <c r="AK11" i="19"/>
  <c r="AK17" i="19" s="1"/>
  <c r="G47" i="19"/>
  <c r="AN47" i="19"/>
  <c r="AP47" i="19" s="1"/>
  <c r="B16" i="20"/>
  <c r="AP16" i="19"/>
  <c r="V47" i="19"/>
  <c r="T53" i="19"/>
  <c r="T55" i="19" s="1"/>
  <c r="T20" i="19" s="1"/>
  <c r="T21" i="19" s="1"/>
  <c r="F52" i="20"/>
  <c r="AK69" i="19"/>
  <c r="AK71" i="19" s="1"/>
  <c r="AK27" i="19" s="1"/>
  <c r="AQ27" i="19" s="1"/>
  <c r="AI71" i="19"/>
  <c r="AF61" i="19"/>
  <c r="AH61" i="19" s="1"/>
  <c r="AH11" i="19"/>
  <c r="AH17" i="19" s="1"/>
  <c r="AF17" i="19"/>
  <c r="AI28" i="19"/>
  <c r="Q60" i="4"/>
  <c r="M137" i="4"/>
  <c r="Q62" i="4"/>
  <c r="AL10" i="19"/>
  <c r="L139" i="4"/>
  <c r="F80" i="20"/>
  <c r="M80" i="20" s="1"/>
  <c r="C49" i="20"/>
  <c r="C49" i="24" s="1"/>
  <c r="G22" i="33" s="1"/>
  <c r="E139" i="4"/>
  <c r="K139" i="4"/>
  <c r="G139" i="4"/>
  <c r="F137" i="4"/>
  <c r="K140" i="4"/>
  <c r="Q53" i="19"/>
  <c r="Q55" i="19" s="1"/>
  <c r="Q20" i="19" s="1"/>
  <c r="Q21" i="19" s="1"/>
  <c r="L137" i="4"/>
  <c r="AQ29" i="19"/>
  <c r="AM5" i="19"/>
  <c r="D53" i="19"/>
  <c r="AH5" i="19"/>
  <c r="G5" i="35"/>
  <c r="C5" i="35"/>
  <c r="G6" i="32"/>
  <c r="C6" i="32" s="1"/>
  <c r="C6" i="35" s="1"/>
  <c r="G6" i="34"/>
  <c r="C6" i="34" s="1"/>
  <c r="G6" i="35" s="1"/>
  <c r="G22" i="32"/>
  <c r="G22" i="34"/>
  <c r="E27" i="35"/>
  <c r="E30" i="35" s="1"/>
  <c r="G4" i="33"/>
  <c r="C5" i="33" s="1"/>
  <c r="E5" i="35" s="1"/>
  <c r="C57" i="24"/>
  <c r="E6" i="35"/>
  <c r="G5" i="33"/>
  <c r="C58" i="24"/>
  <c r="C29" i="20"/>
  <c r="C29" i="24" s="1"/>
  <c r="AM30" i="19"/>
  <c r="B29" i="20"/>
  <c r="B29" i="24" s="1"/>
  <c r="AL30" i="19"/>
  <c r="AN29" i="19"/>
  <c r="AM3" i="19"/>
  <c r="AQ26" i="19"/>
  <c r="AN26" i="19"/>
  <c r="AN3" i="19"/>
  <c r="AQ18" i="19"/>
  <c r="AN18" i="19"/>
  <c r="D18" i="19"/>
  <c r="B21" i="19"/>
  <c r="B22" i="19" s="1"/>
  <c r="M58" i="20" l="1"/>
  <c r="W2" i="19"/>
  <c r="N80" i="20"/>
  <c r="E27" i="22"/>
  <c r="G27" i="22" s="1"/>
  <c r="G326" i="20"/>
  <c r="I326" i="20" s="1"/>
  <c r="AI60" i="19"/>
  <c r="AK60" i="19" s="1"/>
  <c r="AK62" i="19" s="1"/>
  <c r="AK66" i="19" s="1"/>
  <c r="AK52" i="19" s="1"/>
  <c r="C137" i="4"/>
  <c r="C139" i="4"/>
  <c r="G319" i="20" s="1"/>
  <c r="AM10" i="19"/>
  <c r="AQ10" i="19" s="1"/>
  <c r="AN10" i="19"/>
  <c r="AN28" i="19"/>
  <c r="AP28" i="19" s="1"/>
  <c r="AK28" i="19"/>
  <c r="AQ28" i="19" s="1"/>
  <c r="E38" i="22"/>
  <c r="G38" i="22" s="1"/>
  <c r="I341" i="20"/>
  <c r="E33" i="22"/>
  <c r="G33" i="22" s="1"/>
  <c r="I336" i="20"/>
  <c r="N141" i="4"/>
  <c r="G345" i="20"/>
  <c r="I345" i="20" s="1"/>
  <c r="AL11" i="19"/>
  <c r="AM11" i="19" s="1"/>
  <c r="E23" i="22"/>
  <c r="G23" i="22" s="1"/>
  <c r="I325" i="20"/>
  <c r="G328" i="20"/>
  <c r="AF2" i="19"/>
  <c r="AN27" i="19"/>
  <c r="AP27" i="19" s="1"/>
  <c r="AI53" i="19"/>
  <c r="AI55" i="19" s="1"/>
  <c r="AI20" i="19" s="1"/>
  <c r="AI21" i="19" s="1"/>
  <c r="E37" i="22"/>
  <c r="G37" i="22" s="1"/>
  <c r="I340" i="20"/>
  <c r="AN13" i="19"/>
  <c r="AM13" i="19"/>
  <c r="AQ13" i="19" s="1"/>
  <c r="E17" i="19"/>
  <c r="E61" i="19" s="1"/>
  <c r="G61" i="19" s="1"/>
  <c r="G11" i="19"/>
  <c r="E36" i="22"/>
  <c r="G36" i="22" s="1"/>
  <c r="I339" i="20"/>
  <c r="N60" i="19"/>
  <c r="P60" i="19" s="1"/>
  <c r="P62" i="19" s="1"/>
  <c r="P52" i="19" s="1"/>
  <c r="P53" i="19" s="1"/>
  <c r="P55" i="19" s="1"/>
  <c r="P20" i="19" s="1"/>
  <c r="P21" i="19" s="1"/>
  <c r="P2" i="19"/>
  <c r="P9" i="19" s="1"/>
  <c r="N9" i="19"/>
  <c r="N22" i="19" s="1"/>
  <c r="G327" i="20"/>
  <c r="AC2" i="19"/>
  <c r="B16" i="24"/>
  <c r="C16" i="20"/>
  <c r="C16" i="24" s="1"/>
  <c r="G31" i="32"/>
  <c r="C41" i="32" s="1"/>
  <c r="G31" i="34"/>
  <c r="C41" i="34" s="1"/>
  <c r="AI4" i="19"/>
  <c r="Q64" i="4"/>
  <c r="Q137" i="4" s="1"/>
  <c r="E35" i="22"/>
  <c r="G35" i="22" s="1"/>
  <c r="I338" i="20"/>
  <c r="H300" i="20"/>
  <c r="M300" i="20" s="1"/>
  <c r="I299" i="20"/>
  <c r="C46" i="20" s="1"/>
  <c r="C46" i="24" s="1"/>
  <c r="Z60" i="19"/>
  <c r="AB2" i="19"/>
  <c r="AB9" i="19" s="1"/>
  <c r="Z9" i="19"/>
  <c r="W61" i="19"/>
  <c r="Y61" i="19" s="1"/>
  <c r="Y11" i="19"/>
  <c r="Y17" i="19" s="1"/>
  <c r="W17" i="19"/>
  <c r="E22" i="22"/>
  <c r="G22" i="22" s="1"/>
  <c r="I324" i="20"/>
  <c r="E31" i="22"/>
  <c r="G31" i="22" s="1"/>
  <c r="I334" i="20"/>
  <c r="T61" i="19"/>
  <c r="V61" i="19" s="1"/>
  <c r="V11" i="19"/>
  <c r="V17" i="19" s="1"/>
  <c r="T17" i="19"/>
  <c r="AQ47" i="19"/>
  <c r="I57" i="20"/>
  <c r="C27" i="20" s="1"/>
  <c r="C27" i="24" s="1"/>
  <c r="G38" i="33" s="1"/>
  <c r="C41" i="33" s="1"/>
  <c r="G320" i="20"/>
  <c r="H2" i="19"/>
  <c r="E20" i="22"/>
  <c r="G20" i="22" s="1"/>
  <c r="I322" i="20"/>
  <c r="K141" i="4"/>
  <c r="AC11" i="19"/>
  <c r="G342" i="20"/>
  <c r="G321" i="20"/>
  <c r="K2" i="19"/>
  <c r="K61" i="19"/>
  <c r="M61" i="19" s="1"/>
  <c r="M11" i="19"/>
  <c r="M17" i="19" s="1"/>
  <c r="K17" i="19"/>
  <c r="Q61" i="19"/>
  <c r="S61" i="19" s="1"/>
  <c r="S11" i="19"/>
  <c r="S17" i="19" s="1"/>
  <c r="Q17" i="19"/>
  <c r="G36" i="32"/>
  <c r="C37" i="32" s="1"/>
  <c r="C37" i="35" s="1"/>
  <c r="G36" i="34"/>
  <c r="C37" i="34" s="1"/>
  <c r="G37" i="35" s="1"/>
  <c r="B60" i="24"/>
  <c r="W60" i="19"/>
  <c r="Y60" i="19" s="1"/>
  <c r="Y2" i="19"/>
  <c r="Y9" i="19" s="1"/>
  <c r="W9" i="19"/>
  <c r="G323" i="20"/>
  <c r="Q2" i="19"/>
  <c r="Z61" i="19"/>
  <c r="AB61" i="19" s="1"/>
  <c r="AB11" i="19"/>
  <c r="AB17" i="19" s="1"/>
  <c r="Z17" i="19"/>
  <c r="B14" i="24"/>
  <c r="C14" i="20"/>
  <c r="C14" i="24" s="1"/>
  <c r="B15" i="24"/>
  <c r="C15" i="20"/>
  <c r="C15" i="24" s="1"/>
  <c r="T60" i="19"/>
  <c r="V60" i="19" s="1"/>
  <c r="V2" i="19"/>
  <c r="V9" i="19" s="1"/>
  <c r="T9" i="19"/>
  <c r="O140" i="4"/>
  <c r="AI9" i="19"/>
  <c r="AL25" i="19"/>
  <c r="D55" i="19"/>
  <c r="D20" i="19" s="1"/>
  <c r="D21" i="19" s="1"/>
  <c r="D22" i="19" s="1"/>
  <c r="AQ19" i="19"/>
  <c r="AQ30" i="19"/>
  <c r="AM25" i="19"/>
  <c r="AM53" i="19" s="1"/>
  <c r="AQ5" i="19"/>
  <c r="C9" i="35"/>
  <c r="C9" i="34"/>
  <c r="G9" i="35"/>
  <c r="C9" i="32"/>
  <c r="E9" i="35"/>
  <c r="C9" i="33"/>
  <c r="G23" i="32"/>
  <c r="G23" i="34"/>
  <c r="G9" i="33"/>
  <c r="AN30" i="19"/>
  <c r="AM9" i="19"/>
  <c r="AP29" i="19"/>
  <c r="AL9" i="19"/>
  <c r="AQ3" i="19"/>
  <c r="B3" i="20"/>
  <c r="B3" i="24" s="1"/>
  <c r="AP3" i="19"/>
  <c r="AP26" i="19"/>
  <c r="B18" i="20"/>
  <c r="AP18" i="19"/>
  <c r="AK53" i="19" l="1"/>
  <c r="AK55" i="19" s="1"/>
  <c r="AK20" i="19" s="1"/>
  <c r="AK21" i="19" s="1"/>
  <c r="O141" i="4"/>
  <c r="AI22" i="19"/>
  <c r="E24" i="22"/>
  <c r="G24" i="22" s="1"/>
  <c r="W22" i="19"/>
  <c r="T22" i="19"/>
  <c r="O139" i="4"/>
  <c r="E2" i="19"/>
  <c r="E9" i="19" s="1"/>
  <c r="E22" i="19" s="1"/>
  <c r="E19" i="22"/>
  <c r="G19" i="22" s="1"/>
  <c r="I321" i="20"/>
  <c r="G35" i="33"/>
  <c r="C37" i="33" s="1"/>
  <c r="E37" i="35" s="1"/>
  <c r="C60" i="24"/>
  <c r="K60" i="19"/>
  <c r="M60" i="19" s="1"/>
  <c r="M62" i="19" s="1"/>
  <c r="M52" i="19" s="1"/>
  <c r="M53" i="19" s="1"/>
  <c r="M55" i="19" s="1"/>
  <c r="M20" i="19" s="1"/>
  <c r="M21" i="19" s="1"/>
  <c r="M2" i="19"/>
  <c r="M9" i="19" s="1"/>
  <c r="K9" i="19"/>
  <c r="K22" i="19" s="1"/>
  <c r="E18" i="22"/>
  <c r="G18" i="22" s="1"/>
  <c r="I320" i="20"/>
  <c r="C41" i="35"/>
  <c r="C44" i="35" s="1"/>
  <c r="C44" i="32"/>
  <c r="AF60" i="19"/>
  <c r="AH60" i="19" s="1"/>
  <c r="AH62" i="19" s="1"/>
  <c r="AH52" i="19" s="1"/>
  <c r="AH53" i="19" s="1"/>
  <c r="AH55" i="19" s="1"/>
  <c r="AH20" i="19" s="1"/>
  <c r="AH21" i="19" s="1"/>
  <c r="AH2" i="19"/>
  <c r="AH9" i="19" s="1"/>
  <c r="AF9" i="19"/>
  <c r="AF22" i="19" s="1"/>
  <c r="E21" i="22"/>
  <c r="G21" i="22" s="1"/>
  <c r="I323" i="20"/>
  <c r="AC61" i="19"/>
  <c r="AE61" i="19" s="1"/>
  <c r="AE11" i="19"/>
  <c r="AE17" i="19" s="1"/>
  <c r="AC17" i="19"/>
  <c r="H60" i="19"/>
  <c r="J60" i="19" s="1"/>
  <c r="J62" i="19" s="1"/>
  <c r="J52" i="19" s="1"/>
  <c r="J2" i="19"/>
  <c r="J9" i="19" s="1"/>
  <c r="H9" i="19"/>
  <c r="C44" i="34"/>
  <c r="G41" i="35"/>
  <c r="G44" i="35" s="1"/>
  <c r="AC60" i="19"/>
  <c r="AE2" i="19"/>
  <c r="AE9" i="19" s="1"/>
  <c r="AC9" i="19"/>
  <c r="AC22" i="19" s="1"/>
  <c r="G17" i="19"/>
  <c r="E17" i="22"/>
  <c r="G17" i="22" s="1"/>
  <c r="I319" i="20"/>
  <c r="G331" i="20"/>
  <c r="E26" i="22"/>
  <c r="G26" i="22" s="1"/>
  <c r="I328" i="20"/>
  <c r="B10" i="20"/>
  <c r="AP10" i="19"/>
  <c r="E41" i="35"/>
  <c r="E44" i="35" s="1"/>
  <c r="C44" i="33"/>
  <c r="AB60" i="19"/>
  <c r="AB62" i="19" s="1"/>
  <c r="AB52" i="19" s="1"/>
  <c r="AB53" i="19" s="1"/>
  <c r="AB55" i="19" s="1"/>
  <c r="AB20" i="19" s="1"/>
  <c r="AB21" i="19" s="1"/>
  <c r="AB22" i="19" s="1"/>
  <c r="Z62" i="19"/>
  <c r="E25" i="22"/>
  <c r="G25" i="22" s="1"/>
  <c r="I327" i="20"/>
  <c r="Q60" i="19"/>
  <c r="S60" i="19" s="1"/>
  <c r="S62" i="19" s="1"/>
  <c r="S52" i="19" s="1"/>
  <c r="S53" i="19" s="1"/>
  <c r="S55" i="19" s="1"/>
  <c r="S20" i="19" s="1"/>
  <c r="S21" i="19" s="1"/>
  <c r="S2" i="19"/>
  <c r="S9" i="19" s="1"/>
  <c r="Q9" i="19"/>
  <c r="Q22" i="19" s="1"/>
  <c r="E39" i="22"/>
  <c r="G39" i="22" s="1"/>
  <c r="I342" i="20"/>
  <c r="I346" i="20" s="1"/>
  <c r="AN4" i="19"/>
  <c r="AK4" i="19"/>
  <c r="B13" i="20"/>
  <c r="AP13" i="19"/>
  <c r="V62" i="19"/>
  <c r="V52" i="19" s="1"/>
  <c r="V53" i="19" s="1"/>
  <c r="V55" i="19" s="1"/>
  <c r="V20" i="19" s="1"/>
  <c r="V21" i="19" s="1"/>
  <c r="V22" i="19" s="1"/>
  <c r="Y62" i="19"/>
  <c r="Y52" i="19" s="1"/>
  <c r="Y53" i="19" s="1"/>
  <c r="Y55" i="19" s="1"/>
  <c r="Y20" i="19" s="1"/>
  <c r="Y21" i="19" s="1"/>
  <c r="Y22" i="19" s="1"/>
  <c r="G346" i="20"/>
  <c r="Z22" i="19"/>
  <c r="P22" i="19"/>
  <c r="AN11" i="19"/>
  <c r="AN25" i="19"/>
  <c r="AQ25" i="19"/>
  <c r="C11" i="32"/>
  <c r="C11" i="34"/>
  <c r="C11" i="33"/>
  <c r="C18" i="20"/>
  <c r="C18" i="24" s="1"/>
  <c r="B18" i="24"/>
  <c r="AL53" i="19"/>
  <c r="AP30" i="19"/>
  <c r="B5" i="20"/>
  <c r="B5" i="24" s="1"/>
  <c r="AP5" i="19"/>
  <c r="AN24" i="19"/>
  <c r="J24" i="19"/>
  <c r="H53" i="19"/>
  <c r="H55" i="19" s="1"/>
  <c r="H20" i="19" s="1"/>
  <c r="H21" i="19" s="1"/>
  <c r="H22" i="19" s="1"/>
  <c r="AQ11" i="19" l="1"/>
  <c r="AN2" i="19"/>
  <c r="AN9" i="19" s="1"/>
  <c r="AP9" i="19" s="1"/>
  <c r="G2" i="19"/>
  <c r="AQ2" i="19" s="1"/>
  <c r="AQ9" i="19" s="1"/>
  <c r="E60" i="19"/>
  <c r="G60" i="19" s="1"/>
  <c r="G62" i="19" s="1"/>
  <c r="G52" i="19" s="1"/>
  <c r="I331" i="20"/>
  <c r="I351" i="20" s="1"/>
  <c r="C51" i="20" s="1"/>
  <c r="C51" i="24" s="1"/>
  <c r="G24" i="33" s="1"/>
  <c r="C14" i="33" s="1"/>
  <c r="E14" i="35" s="1"/>
  <c r="B10" i="24"/>
  <c r="C10" i="20"/>
  <c r="C10" i="24" s="1"/>
  <c r="B11" i="20"/>
  <c r="AP11" i="19"/>
  <c r="AQ4" i="19"/>
  <c r="AK9" i="19"/>
  <c r="AK22" i="19" s="1"/>
  <c r="AE60" i="19"/>
  <c r="AE62" i="19" s="1"/>
  <c r="AE52" i="19" s="1"/>
  <c r="AE53" i="19" s="1"/>
  <c r="AE55" i="19" s="1"/>
  <c r="AE20" i="19" s="1"/>
  <c r="AE21" i="19" s="1"/>
  <c r="AE22" i="19" s="1"/>
  <c r="AC62" i="19"/>
  <c r="S22" i="19"/>
  <c r="AH22" i="19"/>
  <c r="B4" i="20"/>
  <c r="AP4" i="19"/>
  <c r="B13" i="24"/>
  <c r="C13" i="20"/>
  <c r="C13" i="24" s="1"/>
  <c r="G43" i="22"/>
  <c r="G45" i="22" s="1"/>
  <c r="G49" i="22" s="1"/>
  <c r="G50" i="22" s="1"/>
  <c r="F55" i="22" s="1"/>
  <c r="G40" i="34" s="1"/>
  <c r="C22" i="34" s="1"/>
  <c r="G22" i="35" s="1"/>
  <c r="M22" i="19"/>
  <c r="J53" i="19"/>
  <c r="J55" i="19" s="1"/>
  <c r="J20" i="19" s="1"/>
  <c r="J21" i="19" s="1"/>
  <c r="J22" i="19" s="1"/>
  <c r="F54" i="20"/>
  <c r="H52" i="20"/>
  <c r="E11" i="35"/>
  <c r="G11" i="35"/>
  <c r="G15" i="35" s="1"/>
  <c r="G16" i="35" s="1"/>
  <c r="G18" i="35" s="1"/>
  <c r="C15" i="34"/>
  <c r="C16" i="34" s="1"/>
  <c r="C18" i="34" s="1"/>
  <c r="C11" i="35"/>
  <c r="C15" i="35" s="1"/>
  <c r="C16" i="35" s="1"/>
  <c r="C18" i="35" s="1"/>
  <c r="C15" i="32"/>
  <c r="C16" i="32" s="1"/>
  <c r="C18" i="32" s="1"/>
  <c r="AP25" i="19"/>
  <c r="AN53" i="19"/>
  <c r="AQ24" i="19"/>
  <c r="AP24" i="19"/>
  <c r="G9" i="19" l="1"/>
  <c r="B2" i="20"/>
  <c r="B2" i="24" s="1"/>
  <c r="AP2" i="19"/>
  <c r="AQ52" i="19"/>
  <c r="AQ53" i="19" s="1"/>
  <c r="G53" i="19"/>
  <c r="G55" i="19" s="1"/>
  <c r="G20" i="19" s="1"/>
  <c r="G21" i="19" s="1"/>
  <c r="G22" i="19" s="1"/>
  <c r="C15" i="33"/>
  <c r="C16" i="33" s="1"/>
  <c r="B11" i="24"/>
  <c r="C11" i="20"/>
  <c r="C11" i="24" s="1"/>
  <c r="B4" i="24"/>
  <c r="C4" i="20"/>
  <c r="C4" i="24" s="1"/>
  <c r="E15" i="35"/>
  <c r="E16" i="35" s="1"/>
  <c r="AQ66" i="19"/>
  <c r="B26" i="20"/>
  <c r="B26" i="24" s="1"/>
  <c r="H54" i="20"/>
  <c r="M54" i="20" s="1"/>
  <c r="I53" i="20"/>
  <c r="C26" i="20" s="1"/>
  <c r="C26" i="24" s="1"/>
  <c r="AN54" i="19"/>
  <c r="AL54" i="19" s="1"/>
  <c r="AP53" i="19"/>
  <c r="B9" i="20" l="1"/>
  <c r="C2" i="20"/>
  <c r="C2" i="24" s="1"/>
  <c r="B9" i="24"/>
  <c r="AL12" i="19"/>
  <c r="G21" i="34"/>
  <c r="G21" i="32"/>
  <c r="H58" i="24"/>
  <c r="B61" i="24"/>
  <c r="B62" i="24" s="1"/>
  <c r="B52" i="24"/>
  <c r="G7" i="33"/>
  <c r="C61" i="24"/>
  <c r="AN55" i="19"/>
  <c r="AP54" i="19"/>
  <c r="AQ54" i="19"/>
  <c r="AQ55" i="19" l="1"/>
  <c r="AQ20" i="19" s="1"/>
  <c r="AM54" i="19"/>
  <c r="AM12" i="19"/>
  <c r="AL55" i="19"/>
  <c r="AN12" i="19"/>
  <c r="AP12" i="19" s="1"/>
  <c r="AL17" i="19"/>
  <c r="B53" i="24"/>
  <c r="B54" i="24" s="1"/>
  <c r="C21" i="34"/>
  <c r="G24" i="34"/>
  <c r="C21" i="33"/>
  <c r="C21" i="32"/>
  <c r="G24" i="32"/>
  <c r="AN20" i="19"/>
  <c r="AP55" i="19"/>
  <c r="AN17" i="19" l="1"/>
  <c r="AP17" i="19" s="1"/>
  <c r="AQ12" i="19"/>
  <c r="AQ17" i="19" s="1"/>
  <c r="AM17" i="19"/>
  <c r="AM55" i="19"/>
  <c r="AL20" i="19"/>
  <c r="C23" i="33"/>
  <c r="E21" i="35"/>
  <c r="E23" i="35" s="1"/>
  <c r="G30" i="32"/>
  <c r="C36" i="32" s="1"/>
  <c r="H59" i="24"/>
  <c r="B20" i="24"/>
  <c r="B21" i="24" s="1"/>
  <c r="G29" i="32"/>
  <c r="C23" i="32"/>
  <c r="C24" i="32" s="1"/>
  <c r="C21" i="35"/>
  <c r="C23" i="35" s="1"/>
  <c r="C24" i="35" s="1"/>
  <c r="G21" i="35"/>
  <c r="G23" i="35" s="1"/>
  <c r="G24" i="35" s="1"/>
  <c r="C23" i="34"/>
  <c r="C24" i="34" s="1"/>
  <c r="AN21" i="19"/>
  <c r="AP20" i="19"/>
  <c r="AQ21" i="19"/>
  <c r="AM20" i="19" l="1"/>
  <c r="AL21" i="19"/>
  <c r="C36" i="35"/>
  <c r="C39" i="35" s="1"/>
  <c r="C39" i="32"/>
  <c r="C46" i="32"/>
  <c r="G39" i="32"/>
  <c r="AN22" i="19"/>
  <c r="AP21" i="19"/>
  <c r="AQ22" i="19"/>
  <c r="B52" i="20"/>
  <c r="D54" i="22" s="1"/>
  <c r="F83" i="20"/>
  <c r="H83" i="20" s="1"/>
  <c r="AM21" i="19" l="1"/>
  <c r="AL22" i="19"/>
  <c r="C46" i="35"/>
  <c r="C49" i="35" s="1"/>
  <c r="C49" i="32"/>
  <c r="D57" i="22"/>
  <c r="F54" i="22"/>
  <c r="F56" i="22" s="1"/>
  <c r="AP22" i="19"/>
  <c r="M85" i="20"/>
  <c r="C48" i="20"/>
  <c r="I83" i="20"/>
  <c r="C8" i="20" s="1"/>
  <c r="H84" i="20"/>
  <c r="F84" i="20"/>
  <c r="B53" i="20"/>
  <c r="B12" i="20" s="1"/>
  <c r="F61" i="22" l="1"/>
  <c r="AM22" i="19"/>
  <c r="C52" i="20"/>
  <c r="E54" i="22" s="1"/>
  <c r="E57" i="22" s="1"/>
  <c r="E58" i="22" s="1"/>
  <c r="C48" i="24"/>
  <c r="C9" i="20"/>
  <c r="C8" i="24"/>
  <c r="C9" i="24" s="1"/>
  <c r="C50" i="32"/>
  <c r="D49" i="32" s="1"/>
  <c r="C57" i="32" s="1"/>
  <c r="C50" i="35"/>
  <c r="D59" i="22"/>
  <c r="B17" i="20"/>
  <c r="B12" i="24"/>
  <c r="B17" i="24" s="1"/>
  <c r="B22" i="24" s="1"/>
  <c r="F57" i="22"/>
  <c r="D58" i="22"/>
  <c r="B54" i="20"/>
  <c r="B20" i="20" s="1"/>
  <c r="B21" i="20" s="1"/>
  <c r="M84" i="20"/>
  <c r="B22" i="20" l="1"/>
  <c r="B55" i="20" s="1"/>
  <c r="C53" i="20"/>
  <c r="C12" i="20" s="1"/>
  <c r="C12" i="24" s="1"/>
  <c r="C17" i="24" s="1"/>
  <c r="E60" i="22"/>
  <c r="G21" i="33"/>
  <c r="C59" i="24"/>
  <c r="C62" i="24" s="1"/>
  <c r="C52" i="24"/>
  <c r="C53" i="24" s="1"/>
  <c r="I58" i="24"/>
  <c r="D50" i="32"/>
  <c r="D30" i="32"/>
  <c r="C53" i="32" s="1"/>
  <c r="D34" i="32"/>
  <c r="C54" i="32" s="1"/>
  <c r="D44" i="32"/>
  <c r="C56" i="32" s="1"/>
  <c r="D39" i="32"/>
  <c r="C55" i="32" s="1"/>
  <c r="D30" i="35"/>
  <c r="C53" i="35"/>
  <c r="D50" i="35"/>
  <c r="D34" i="35"/>
  <c r="D44" i="35"/>
  <c r="D39" i="35"/>
  <c r="D49" i="35"/>
  <c r="G30" i="34"/>
  <c r="C36" i="34" s="1"/>
  <c r="F58" i="22"/>
  <c r="G29" i="34" s="1"/>
  <c r="N84" i="20"/>
  <c r="M320" i="20"/>
  <c r="C17" i="20" l="1"/>
  <c r="C54" i="20"/>
  <c r="C20" i="20" s="1"/>
  <c r="C21" i="20" s="1"/>
  <c r="C17" i="33"/>
  <c r="G27" i="33"/>
  <c r="C54" i="24"/>
  <c r="I59" i="24" s="1"/>
  <c r="G37" i="33"/>
  <c r="C36" i="33" s="1"/>
  <c r="G39" i="34"/>
  <c r="G41" i="34" s="1"/>
  <c r="G42" i="34" s="1"/>
  <c r="C46" i="34"/>
  <c r="G36" i="35"/>
  <c r="G39" i="35" s="1"/>
  <c r="C39" i="34"/>
  <c r="C22" i="20" l="1"/>
  <c r="C55" i="20" s="1"/>
  <c r="E17" i="35"/>
  <c r="E18" i="35" s="1"/>
  <c r="E24" i="35" s="1"/>
  <c r="C18" i="33"/>
  <c r="C24" i="33" s="1"/>
  <c r="C20" i="24"/>
  <c r="C21" i="24" s="1"/>
  <c r="C22" i="24" s="1"/>
  <c r="G29" i="33"/>
  <c r="C39" i="33"/>
  <c r="E36" i="35"/>
  <c r="E39" i="35" s="1"/>
  <c r="C49" i="34"/>
  <c r="G46" i="35"/>
  <c r="G49" i="35" s="1"/>
  <c r="C46" i="33" l="1"/>
  <c r="G40" i="33"/>
  <c r="G42" i="33" s="1"/>
  <c r="C50" i="34"/>
  <c r="D49" i="34" s="1"/>
  <c r="C57" i="34" s="1"/>
  <c r="G50" i="35"/>
  <c r="H49" i="35" s="1"/>
  <c r="C49" i="33" l="1"/>
  <c r="E46" i="35"/>
  <c r="E49" i="35" s="1"/>
  <c r="D50" i="34"/>
  <c r="D44" i="34"/>
  <c r="C56" i="34" s="1"/>
  <c r="D30" i="34"/>
  <c r="C53" i="34" s="1"/>
  <c r="D34" i="34"/>
  <c r="C54" i="34" s="1"/>
  <c r="D39" i="34"/>
  <c r="C55" i="34" s="1"/>
  <c r="H34" i="35"/>
  <c r="H50" i="35"/>
  <c r="H44" i="35"/>
  <c r="H30" i="35"/>
  <c r="G53" i="35"/>
  <c r="H39" i="35"/>
  <c r="C50" i="33" l="1"/>
  <c r="D49" i="33" s="1"/>
  <c r="C58" i="33" s="1"/>
  <c r="E50" i="35"/>
  <c r="F49" i="35" s="1"/>
  <c r="D50" i="33" l="1"/>
  <c r="D34" i="33"/>
  <c r="C55" i="33" s="1"/>
  <c r="D44" i="33"/>
  <c r="C57" i="33" s="1"/>
  <c r="D30" i="33"/>
  <c r="C54" i="33" s="1"/>
  <c r="D39" i="33"/>
  <c r="C56" i="33" s="1"/>
  <c r="F34" i="35"/>
  <c r="F30" i="35"/>
  <c r="F44" i="35"/>
  <c r="F50" i="35"/>
  <c r="F39" i="35"/>
  <c r="E53" i="35"/>
</calcChain>
</file>

<file path=xl/sharedStrings.xml><?xml version="1.0" encoding="utf-8"?>
<sst xmlns="http://schemas.openxmlformats.org/spreadsheetml/2006/main" count="1475" uniqueCount="411">
  <si>
    <t>CAJA</t>
  </si>
  <si>
    <t>CAPITAL</t>
  </si>
  <si>
    <t>CMV</t>
  </si>
  <si>
    <t>AJ CAPITAL</t>
  </si>
  <si>
    <t>RxT CMV</t>
  </si>
  <si>
    <t>VTAS</t>
  </si>
  <si>
    <t>RECPAM</t>
  </si>
  <si>
    <t>VENTAS</t>
  </si>
  <si>
    <t>PMI</t>
  </si>
  <si>
    <t>PMF</t>
  </si>
  <si>
    <t>Disponibilidades $</t>
  </si>
  <si>
    <r>
      <t xml:space="preserve">Disponibilidades ME </t>
    </r>
    <r>
      <rPr>
        <sz val="9"/>
        <rFont val="Arial"/>
        <family val="2"/>
      </rPr>
      <t>(u$s 5.000)</t>
    </r>
  </si>
  <si>
    <t>Mes</t>
  </si>
  <si>
    <t>IPC NG</t>
  </si>
  <si>
    <t>COEFICIENTE</t>
  </si>
  <si>
    <t>Nivel General</t>
  </si>
  <si>
    <t>Productos Nacionales</t>
  </si>
  <si>
    <t>Productos Importados</t>
  </si>
  <si>
    <t>Total</t>
  </si>
  <si>
    <t>Primarios</t>
  </si>
  <si>
    <t>Manufacturados y Energía Eléctrica</t>
  </si>
  <si>
    <t>Importados</t>
  </si>
  <si>
    <t>% var mensual</t>
  </si>
  <si>
    <t>% var anual</t>
  </si>
  <si>
    <t>Promedio</t>
  </si>
  <si>
    <t>Fuente</t>
  </si>
  <si>
    <t>FACTOR</t>
  </si>
  <si>
    <t>www.economia.gob.ar/download/infoeco/apendice4.xlsx</t>
  </si>
  <si>
    <t>Ley 27430</t>
  </si>
  <si>
    <t>servicio luz</t>
  </si>
  <si>
    <t>servicio agua</t>
  </si>
  <si>
    <t>ventas pastillas unid</t>
  </si>
  <si>
    <t>altas pastillas unid</t>
  </si>
  <si>
    <t>deprec ms y útiles</t>
  </si>
  <si>
    <t>deprec instalaciones</t>
  </si>
  <si>
    <t>deprec informática</t>
  </si>
  <si>
    <t>TODO SIN IVA</t>
  </si>
  <si>
    <t>altas pastillas $ IVA CF</t>
  </si>
  <si>
    <t>ventas pastillas $ IVA DF</t>
  </si>
  <si>
    <t>alquiler pag sin IVA</t>
  </si>
  <si>
    <t>altas pastillas $ sin IVA</t>
  </si>
  <si>
    <t>alquiler pag CF</t>
  </si>
  <si>
    <t>gastos librería sin IVA</t>
  </si>
  <si>
    <t>gastos librería IVA CF</t>
  </si>
  <si>
    <t>gs mant y rep vs sin IVA</t>
  </si>
  <si>
    <t>gs mant y rep vs IVA CF</t>
  </si>
  <si>
    <t>servicios prof sin IVA</t>
  </si>
  <si>
    <t>servicios prof IVA CF</t>
  </si>
  <si>
    <t>fletes sin IVA</t>
  </si>
  <si>
    <t>fletes IVA CF</t>
  </si>
  <si>
    <t>gastos bancarios sin IVA</t>
  </si>
  <si>
    <t>gastos bancarios CF</t>
  </si>
  <si>
    <t>public y propag IVA CF</t>
  </si>
  <si>
    <t>public y propag sin IVA</t>
  </si>
  <si>
    <t>viáticos sin IVA</t>
  </si>
  <si>
    <t>viáticos IVA CF</t>
  </si>
  <si>
    <t>precio unitario sin IVA</t>
  </si>
  <si>
    <t>ventas pastillas $ sin IVA</t>
  </si>
  <si>
    <t>costo rep pastillas sin IVA</t>
  </si>
  <si>
    <t>Bienes de Cbio (400 juegos)</t>
  </si>
  <si>
    <t>posición IVA</t>
  </si>
  <si>
    <t>sueldos dev adm</t>
  </si>
  <si>
    <t>sueldos dev com</t>
  </si>
  <si>
    <t>cargas sociales deveng com</t>
  </si>
  <si>
    <t>cargas sociales deveng adm</t>
  </si>
  <si>
    <t>gastos inscr y habil sin IVA</t>
  </si>
  <si>
    <t>gastos inscr y habil IVA CF</t>
  </si>
  <si>
    <t>GASTOS</t>
  </si>
  <si>
    <t>DIF (VTAS net COMPRAS - GASTOS)</t>
  </si>
  <si>
    <t>otros impuestos</t>
  </si>
  <si>
    <t>Ingresos Brutos</t>
  </si>
  <si>
    <t>seguros sin IVA</t>
  </si>
  <si>
    <t>seguros IVA CF</t>
  </si>
  <si>
    <t>Capital</t>
  </si>
  <si>
    <t>Mercaderías</t>
  </si>
  <si>
    <t>IVA CF</t>
  </si>
  <si>
    <t>Caja</t>
  </si>
  <si>
    <t>Asientos del Ejercicio</t>
  </si>
  <si>
    <t>IVA DF</t>
  </si>
  <si>
    <t>Ventas</t>
  </si>
  <si>
    <t>VENTAS menos COMPRAS sin IVA</t>
  </si>
  <si>
    <t>rojo impago</t>
  </si>
  <si>
    <t>rojo no cobrado</t>
  </si>
  <si>
    <t>MS Y UTILES</t>
  </si>
  <si>
    <t>INSTALACIONES</t>
  </si>
  <si>
    <t>Muebles y Utiles</t>
  </si>
  <si>
    <t>Instalaciones</t>
  </si>
  <si>
    <t>Informática</t>
  </si>
  <si>
    <t>INFORMATICA</t>
  </si>
  <si>
    <t>Proveed</t>
  </si>
  <si>
    <t>Ds por Ventas</t>
  </si>
  <si>
    <t>Deudas Sociales</t>
  </si>
  <si>
    <t>Servicios a pagar</t>
  </si>
  <si>
    <t>Servicios prof a pagar</t>
  </si>
  <si>
    <t>Deudas Fiscales</t>
  </si>
  <si>
    <t>VER POSICION IVA</t>
  </si>
  <si>
    <t>CAJA ME</t>
  </si>
  <si>
    <t>MERC</t>
  </si>
  <si>
    <t>MS Y UT</t>
  </si>
  <si>
    <t>INSTAL</t>
  </si>
  <si>
    <t>INFORM</t>
  </si>
  <si>
    <t>PROV</t>
  </si>
  <si>
    <t>DS x VTAS</t>
  </si>
  <si>
    <t>ALQ PAG</t>
  </si>
  <si>
    <t>SDOS DEV A</t>
  </si>
  <si>
    <t>CS SOC A</t>
  </si>
  <si>
    <t>SDOS DEV C</t>
  </si>
  <si>
    <t>CS SOC C</t>
  </si>
  <si>
    <t>DS SOCIAL</t>
  </si>
  <si>
    <t>SERV LUZ</t>
  </si>
  <si>
    <t>SERV AGUA</t>
  </si>
  <si>
    <t>SERV A PAG</t>
  </si>
  <si>
    <t>GS INSCR H</t>
  </si>
  <si>
    <t>GS LIBR</t>
  </si>
  <si>
    <t>DEPR MS Y UT</t>
  </si>
  <si>
    <t>DEPR INST</t>
  </si>
  <si>
    <t>DEPR INFORM</t>
  </si>
  <si>
    <t>GS MANT Y R</t>
  </si>
  <si>
    <t>SERV PROF</t>
  </si>
  <si>
    <t>SERV PROF A P</t>
  </si>
  <si>
    <t>INGR BRUTOS</t>
  </si>
  <si>
    <t>OTROS IMP</t>
  </si>
  <si>
    <t>DS FISCALES</t>
  </si>
  <si>
    <t>FLETES</t>
  </si>
  <si>
    <t>SEGUROS</t>
  </si>
  <si>
    <t>GS BANCARIOS</t>
  </si>
  <si>
    <t>PUBLIC Y PROP</t>
  </si>
  <si>
    <t>VIATICOS</t>
  </si>
  <si>
    <t xml:space="preserve">Interes Cred dev </t>
  </si>
  <si>
    <t xml:space="preserve">Interes Prov dev </t>
  </si>
  <si>
    <t xml:space="preserve">INT DEV PROV </t>
  </si>
  <si>
    <t>INT DEV CRED</t>
  </si>
  <si>
    <t>Proveedores</t>
  </si>
  <si>
    <t>Caja Y Bancos</t>
  </si>
  <si>
    <t>Moneda Extranjera u$s</t>
  </si>
  <si>
    <t>Créditos por Ventas</t>
  </si>
  <si>
    <t>Muebles y Útiles</t>
  </si>
  <si>
    <t>Equipos de Informática</t>
  </si>
  <si>
    <t>Posición IVA a pagar</t>
  </si>
  <si>
    <t>Otras Deudas Fiscales</t>
  </si>
  <si>
    <t>Honorarios Prof a pagar</t>
  </si>
  <si>
    <t>Resultado del Ejercicio</t>
  </si>
  <si>
    <t>TOTAL DEL ACTIVO</t>
  </si>
  <si>
    <t>TOTAL DEL PASIVO</t>
  </si>
  <si>
    <t>TOTAL DEL P.N.</t>
  </si>
  <si>
    <t>Ajuste de Capital</t>
  </si>
  <si>
    <t>Alquileres Pagados</t>
  </si>
  <si>
    <t>Histórico</t>
  </si>
  <si>
    <t>Ajustado Cte</t>
  </si>
  <si>
    <t>RxT Moneda Extranjera</t>
  </si>
  <si>
    <t>RF Créditos</t>
  </si>
  <si>
    <t>RxT Mercaderías</t>
  </si>
  <si>
    <t>RF Proveedores</t>
  </si>
  <si>
    <t>Fletes</t>
  </si>
  <si>
    <t>Comisiones Bancarias</t>
  </si>
  <si>
    <t>Gastos de Inscr y Habil</t>
  </si>
  <si>
    <t>Gastos de Mant y Rep</t>
  </si>
  <si>
    <t>Gastos de Librería</t>
  </si>
  <si>
    <t>Publicidad y Propag</t>
  </si>
  <si>
    <t>Seguros</t>
  </si>
  <si>
    <t>Servicio Agua</t>
  </si>
  <si>
    <t>Servicio Electricidad</t>
  </si>
  <si>
    <t>Honorarios Prof</t>
  </si>
  <si>
    <t>Viáticos</t>
  </si>
  <si>
    <t xml:space="preserve">Sueldos Adm </t>
  </si>
  <si>
    <t>Sueldos Com</t>
  </si>
  <si>
    <t>Cargas Sociales Com</t>
  </si>
  <si>
    <t>Cargas Sociales Adm</t>
  </si>
  <si>
    <t>Imp Ingresos Brutos</t>
  </si>
  <si>
    <t>Otros Impuestos</t>
  </si>
  <si>
    <t>Depreciación Eq Inform</t>
  </si>
  <si>
    <t>Depreciación Instalac</t>
  </si>
  <si>
    <t>Depreciación Ms y Út</t>
  </si>
  <si>
    <t>Imp a las ganancias</t>
  </si>
  <si>
    <t>RDO DEL EJERCICIO</t>
  </si>
  <si>
    <t>Prov Imp a las Gcias</t>
  </si>
  <si>
    <t>RDO ANTES DE IMP</t>
  </si>
  <si>
    <t>Al 31-12-2017</t>
  </si>
  <si>
    <t>CMV (1781 u vend)</t>
  </si>
  <si>
    <t>EI</t>
  </si>
  <si>
    <t>C</t>
  </si>
  <si>
    <t>unid</t>
  </si>
  <si>
    <t>costo</t>
  </si>
  <si>
    <t>histórico</t>
  </si>
  <si>
    <t>coef</t>
  </si>
  <si>
    <t>ajustado</t>
  </si>
  <si>
    <t>V (1781 u)</t>
  </si>
  <si>
    <t xml:space="preserve">V   </t>
  </si>
  <si>
    <t>EF HIST</t>
  </si>
  <si>
    <t>Mon Extr</t>
  </si>
  <si>
    <t>redondeado</t>
  </si>
  <si>
    <t>Merc</t>
  </si>
  <si>
    <t>CMV (1781)</t>
  </si>
  <si>
    <t>RF CRED</t>
  </si>
  <si>
    <t>RF PROV</t>
  </si>
  <si>
    <t>DEPR EJ</t>
  </si>
  <si>
    <t>INSTALAC</t>
  </si>
  <si>
    <t>INFORMAT</t>
  </si>
  <si>
    <t>COM BCO</t>
  </si>
  <si>
    <t>GS INSCR</t>
  </si>
  <si>
    <t>GS LIBRERÍA</t>
  </si>
  <si>
    <t>GS MANT</t>
  </si>
  <si>
    <t>PUBL Y PROP</t>
  </si>
  <si>
    <t>SERV ELECTRICIDAD</t>
  </si>
  <si>
    <t>HONORARIOS PROFESIONALES</t>
  </si>
  <si>
    <t>SUELDOS ADM</t>
  </si>
  <si>
    <t>SUELDOS COM</t>
  </si>
  <si>
    <t>CS SOC ADM</t>
  </si>
  <si>
    <t>CS SOC COM</t>
  </si>
  <si>
    <t>IMP INGR BRUTOS</t>
  </si>
  <si>
    <t>OTROS IMPUESTOS</t>
  </si>
  <si>
    <t>RECPAM CAJA</t>
  </si>
  <si>
    <t xml:space="preserve">IVA CF </t>
  </si>
  <si>
    <t>IVA CF ALQ</t>
  </si>
  <si>
    <t>IVA CF GS MANT</t>
  </si>
  <si>
    <t>IVA CF honor</t>
  </si>
  <si>
    <t>IVA CF fletes</t>
  </si>
  <si>
    <t>IVA CF seguros</t>
  </si>
  <si>
    <t>IVA CF gastos bancarios</t>
  </si>
  <si>
    <t>IVA CF public</t>
  </si>
  <si>
    <t>IVA CF viáticos</t>
  </si>
  <si>
    <t>POS IVA</t>
  </si>
  <si>
    <t>RDO</t>
  </si>
  <si>
    <t>ME</t>
  </si>
  <si>
    <t>BC</t>
  </si>
  <si>
    <t>MUT</t>
  </si>
  <si>
    <t>INST</t>
  </si>
  <si>
    <t>INF</t>
  </si>
  <si>
    <t>AJ C</t>
  </si>
  <si>
    <t>vtas</t>
  </si>
  <si>
    <t>int cred</t>
  </si>
  <si>
    <t>int prov</t>
  </si>
  <si>
    <t>flete</t>
  </si>
  <si>
    <t>alq pag</t>
  </si>
  <si>
    <t>com</t>
  </si>
  <si>
    <t>gs inscr</t>
  </si>
  <si>
    <t>gs libr</t>
  </si>
  <si>
    <t>gs mant</t>
  </si>
  <si>
    <t>publ</t>
  </si>
  <si>
    <t>seg</t>
  </si>
  <si>
    <t>agua</t>
  </si>
  <si>
    <t>luz</t>
  </si>
  <si>
    <t>honor</t>
  </si>
  <si>
    <t>viaticos</t>
  </si>
  <si>
    <t>sdos adm</t>
  </si>
  <si>
    <t>sdos com</t>
  </si>
  <si>
    <t>cs s adm</t>
  </si>
  <si>
    <t>cs s com</t>
  </si>
  <si>
    <t>ingr br</t>
  </si>
  <si>
    <t>otros imp</t>
  </si>
  <si>
    <t>depr ej</t>
  </si>
  <si>
    <t>Total Caja</t>
  </si>
  <si>
    <t>Total IVA CF</t>
  </si>
  <si>
    <t>Total IVA DF</t>
  </si>
  <si>
    <t>Total general</t>
  </si>
  <si>
    <t>POSICION NETA</t>
  </si>
  <si>
    <t>NETO CAJA IVA POS</t>
  </si>
  <si>
    <t xml:space="preserve">RECPAM </t>
  </si>
  <si>
    <t>Ms y Utiles</t>
  </si>
  <si>
    <t>Ds por Vtas</t>
  </si>
  <si>
    <t>Dif</t>
  </si>
  <si>
    <t>CAJA NETO</t>
  </si>
  <si>
    <t>posicion iva</t>
  </si>
  <si>
    <t>Caja u$s</t>
  </si>
  <si>
    <t>CIERRE HIST</t>
  </si>
  <si>
    <t>TOTAL RECPAM</t>
  </si>
  <si>
    <t>RECPAM POS IVA</t>
  </si>
  <si>
    <t xml:space="preserve">RECPAM     </t>
  </si>
  <si>
    <t>RECPAM DS POR VENTAS NO FINANCIADO (DEB FISCAL ACTIVADO)</t>
  </si>
  <si>
    <t>Pasivo computable</t>
  </si>
  <si>
    <t>Resultado (Menor Ganancia Imponible)</t>
  </si>
  <si>
    <t>AJUSTE ESTÁTICO (Rubros computables de inicio: Caja y Bancos)</t>
  </si>
  <si>
    <t>AJUSTE DINÁMICO (efecto de partidas monetarias expuestas del ejericio)</t>
  </si>
  <si>
    <t>Caja y Bancos (saldo inicial)</t>
  </si>
  <si>
    <t>No existe</t>
  </si>
  <si>
    <t xml:space="preserve">Activo computable </t>
  </si>
  <si>
    <t xml:space="preserve">Caja y Bancos </t>
  </si>
  <si>
    <t>NETO POSICIÓN IVA A PAGAR</t>
  </si>
  <si>
    <t>Ds x Ventas (IVA DF activado monet)</t>
  </si>
  <si>
    <t>Pérdida Fase 1 (Activo - Pasivo Computables Inicio)</t>
  </si>
  <si>
    <t>Pérdida Fase 2 (Activo - Pasivo Computables del Ej)</t>
  </si>
  <si>
    <t>TOTAL (MENOR GANANCIA IMPONIBLE)</t>
  </si>
  <si>
    <t>HISTORICO</t>
  </si>
  <si>
    <t>AJUST RT 6</t>
  </si>
  <si>
    <t>AJUST IMP</t>
  </si>
  <si>
    <t>DEDUCCION AJ IMPOSITIVO</t>
  </si>
  <si>
    <t>RDO ANTES DE IMPUESTO</t>
  </si>
  <si>
    <t xml:space="preserve">TASA REAL IMPUESTO </t>
  </si>
  <si>
    <t>TASA REAL IMPUESTO S/AJUST RT 6</t>
  </si>
  <si>
    <t>RDO DEDUCCION IMPOSITIVA SUJETO</t>
  </si>
  <si>
    <t>TASA REAL IMPUESTO S/AJUST IMP</t>
  </si>
  <si>
    <t>RDOS FIN</t>
  </si>
  <si>
    <t>GS COM</t>
  </si>
  <si>
    <t>GS ADM</t>
  </si>
  <si>
    <t>HIST</t>
  </si>
  <si>
    <t>AJ</t>
  </si>
  <si>
    <t>RF</t>
  </si>
  <si>
    <t>REJ antes</t>
  </si>
  <si>
    <t>Disponibilidades ME (u$s 5.000)</t>
  </si>
  <si>
    <t>RECPAM INICIO</t>
  </si>
  <si>
    <t>RECPAM MENSUAL</t>
  </si>
  <si>
    <t>RECPAM TOTAL</t>
  </si>
  <si>
    <t>RF Créditos Real</t>
  </si>
  <si>
    <t>CIERRE AJUST</t>
  </si>
  <si>
    <t>g</t>
  </si>
  <si>
    <t>RXT ME</t>
  </si>
  <si>
    <t>INT CRED</t>
  </si>
  <si>
    <t>INT DS</t>
  </si>
  <si>
    <t>d</t>
  </si>
  <si>
    <t>RXT BC</t>
  </si>
  <si>
    <t>RXT CMV</t>
  </si>
  <si>
    <t>SS TERC</t>
  </si>
  <si>
    <t>GC</t>
  </si>
  <si>
    <t>GA</t>
  </si>
  <si>
    <t>OTROS GS</t>
  </si>
  <si>
    <t>SERV PUBL</t>
  </si>
  <si>
    <t>HONOR</t>
  </si>
  <si>
    <t>COMB</t>
  </si>
  <si>
    <t>SDOS</t>
  </si>
  <si>
    <t>C SOC</t>
  </si>
  <si>
    <t>IMP</t>
  </si>
  <si>
    <t>DEPR</t>
  </si>
  <si>
    <t>RDO EJ</t>
  </si>
  <si>
    <t>Generado</t>
  </si>
  <si>
    <t>Distribuido</t>
  </si>
  <si>
    <t>Comprob</t>
  </si>
  <si>
    <t>Ajustado</t>
  </si>
  <si>
    <t>DESCRIPCIÓN</t>
  </si>
  <si>
    <t>Ejercicio</t>
  </si>
  <si>
    <t>%</t>
  </si>
  <si>
    <t>Anual</t>
  </si>
  <si>
    <t>Participación</t>
  </si>
  <si>
    <t>INGRESOS</t>
  </si>
  <si>
    <t>Otros ingresos</t>
  </si>
  <si>
    <t>Previsión para desvalorización de créditos</t>
  </si>
  <si>
    <t>SUBTOTAL</t>
  </si>
  <si>
    <t>INSUMOS ADQUIRIDOS A TERCEROS</t>
  </si>
  <si>
    <t>Materiales, energía, servicios de terceros y otros</t>
  </si>
  <si>
    <t>Pérdida y recuperación de valores de activos</t>
  </si>
  <si>
    <t>VALOR ECONÓMICO GENERADO BRUTO</t>
  </si>
  <si>
    <t>DEPRECIACIONES Y AMORTIZACIONES</t>
  </si>
  <si>
    <t>VALOR AGREGADO RECIBIDO EN TRANSFERENCIA</t>
  </si>
  <si>
    <t>Resultado participación en subsidiarias</t>
  </si>
  <si>
    <t>Ingresos financieros</t>
  </si>
  <si>
    <t>Otras</t>
  </si>
  <si>
    <t>VALOR ECONÓMICO GENERADO TOTAL A DISTRIBUIR</t>
  </si>
  <si>
    <t>DISTRIBUCIÓN DEL VALOR ECONÓMICO GENERADO</t>
  </si>
  <si>
    <t>Remuneraciones al personal</t>
  </si>
  <si>
    <t>8,1,1</t>
  </si>
  <si>
    <t>8,1,2</t>
  </si>
  <si>
    <t>Beneficios</t>
  </si>
  <si>
    <t>8,1,3</t>
  </si>
  <si>
    <t>REJ</t>
  </si>
  <si>
    <t>8,2,1</t>
  </si>
  <si>
    <t>Función técnica/administrativa</t>
  </si>
  <si>
    <t>8,2,2</t>
  </si>
  <si>
    <t>Al Estado (impuestos, tasas y contribuciones)</t>
  </si>
  <si>
    <t>8,3,1</t>
  </si>
  <si>
    <t>Nacionales</t>
  </si>
  <si>
    <t>8,3,2</t>
  </si>
  <si>
    <t>Provinciales</t>
  </si>
  <si>
    <t>8,3,3</t>
  </si>
  <si>
    <t>Municipales</t>
  </si>
  <si>
    <t>8,4,1</t>
  </si>
  <si>
    <t>Intereses</t>
  </si>
  <si>
    <t>8,4,2</t>
  </si>
  <si>
    <t>Rentas</t>
  </si>
  <si>
    <t>8,4,3</t>
  </si>
  <si>
    <t>Retribución a los propietarios</t>
  </si>
  <si>
    <t>8,5,1</t>
  </si>
  <si>
    <t>8,5,2</t>
  </si>
  <si>
    <t>REJ impositivo</t>
  </si>
  <si>
    <t>Costo de los productos y servicios vendidos</t>
  </si>
  <si>
    <t xml:space="preserve">VALOR ECONÓMICO GENERADO NETO PRODUCIDO </t>
  </si>
  <si>
    <t>Venta de mercaderías, produtos y servicios</t>
  </si>
  <si>
    <t>Ingresos relativos a construcción de activos propios</t>
  </si>
  <si>
    <t>Otras (especificar) RECPAM CONTABLE</t>
  </si>
  <si>
    <t>Otras (especificar) RECPAM IMPOSITIVO</t>
  </si>
  <si>
    <t>Remuneración directa</t>
  </si>
  <si>
    <t>Remuneración al personal directivo y ejecutivo</t>
  </si>
  <si>
    <t>Retribución al capital de terceros</t>
  </si>
  <si>
    <t>Resultados no distribuidos</t>
  </si>
  <si>
    <t>Participación de no controlantes en ganancias retenidas</t>
  </si>
  <si>
    <t>VALOR ECONÓMICO GENERADO TOTAL DISTRIBUIDO</t>
  </si>
  <si>
    <t>Remuneraciones al Personal Directivo y Ejecutivo</t>
  </si>
  <si>
    <t>EVEGyD HISTORICO</t>
  </si>
  <si>
    <t>EVEGyD AJUSTADO</t>
  </si>
  <si>
    <t>EVEGyD IMPOSITIVO AJUSTADO</t>
  </si>
  <si>
    <t>para fórmulas</t>
  </si>
  <si>
    <t>TOTALES</t>
  </si>
  <si>
    <t>dólares</t>
  </si>
  <si>
    <t>TC</t>
  </si>
  <si>
    <t>TC CIERRE</t>
  </si>
  <si>
    <t>GENERADO</t>
  </si>
  <si>
    <t>DISTRIBUIDO</t>
  </si>
  <si>
    <t>RECPAM IMPOSITIVO</t>
  </si>
  <si>
    <t>AJ ene-17</t>
  </si>
  <si>
    <t>Aj dic -16</t>
  </si>
  <si>
    <t>Aj feb-17</t>
  </si>
  <si>
    <t>Aj mar-17</t>
  </si>
  <si>
    <t>Aj abr-17</t>
  </si>
  <si>
    <t>Aj may-17</t>
  </si>
  <si>
    <t>Aj jun-17</t>
  </si>
  <si>
    <t>Aj jul-17</t>
  </si>
  <si>
    <t>Aj ago-17</t>
  </si>
  <si>
    <t>Aj sep-17</t>
  </si>
  <si>
    <t>Aj oct-17</t>
  </si>
  <si>
    <t>Aj nov-17</t>
  </si>
  <si>
    <t>Aj dic-17</t>
  </si>
  <si>
    <t>Aj Contable</t>
  </si>
  <si>
    <t>Aj Impositivo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</si>
</sst>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0000000000"/>
    <numFmt numFmtId="166" formatCode="0.0%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8"/>
      <color indexed="9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b/>
      <sz val="10"/>
      <color theme="3" tint="-0.249977111117893"/>
      <name val="Arial"/>
      <family val="2"/>
    </font>
    <font>
      <i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0"/>
      <color theme="3"/>
      <name val="Arial"/>
      <family val="2"/>
    </font>
    <font>
      <b/>
      <i/>
      <sz val="11"/>
      <color theme="3" tint="-0.249977111117893"/>
      <name val="Calibri"/>
      <family val="2"/>
      <scheme val="minor"/>
    </font>
    <font>
      <sz val="8"/>
      <color theme="3"/>
      <name val="Arial"/>
      <family val="2"/>
    </font>
    <font>
      <sz val="8"/>
      <color theme="3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/>
    <xf numFmtId="4" fontId="2" fillId="0" borderId="0" xfId="0" applyNumberFormat="1" applyFont="1"/>
    <xf numFmtId="4" fontId="2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17" fontId="6" fillId="2" borderId="4" xfId="2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5" fontId="4" fillId="2" borderId="5" xfId="0" applyNumberFormat="1" applyFont="1" applyFill="1" applyBorder="1" applyAlignment="1">
      <alignment horizontal="center"/>
    </xf>
    <xf numFmtId="17" fontId="6" fillId="2" borderId="1" xfId="2" applyNumberFormat="1" applyFont="1" applyFill="1" applyBorder="1" applyAlignment="1">
      <alignment horizontal="center"/>
    </xf>
    <xf numFmtId="164" fontId="7" fillId="2" borderId="2" xfId="1" applyNumberFormat="1" applyFont="1" applyFill="1" applyBorder="1" applyAlignment="1">
      <alignment horizontal="center"/>
    </xf>
    <xf numFmtId="165" fontId="4" fillId="2" borderId="6" xfId="0" applyNumberFormat="1" applyFont="1" applyFill="1" applyBorder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6" fillId="0" borderId="8" xfId="2" applyFont="1" applyFill="1" applyBorder="1"/>
    <xf numFmtId="0" fontId="0" fillId="3" borderId="4" xfId="0" applyFill="1" applyBorder="1"/>
    <xf numFmtId="0" fontId="0" fillId="3" borderId="0" xfId="0" applyFill="1" applyBorder="1"/>
    <xf numFmtId="0" fontId="0" fillId="3" borderId="13" xfId="0" applyFill="1" applyBorder="1"/>
    <xf numFmtId="0" fontId="6" fillId="0" borderId="0" xfId="2" applyFont="1" applyFill="1" applyBorder="1"/>
    <xf numFmtId="0" fontId="0" fillId="3" borderId="1" xfId="0" applyFill="1" applyBorder="1"/>
    <xf numFmtId="0" fontId="0" fillId="3" borderId="2" xfId="0" applyFill="1" applyBorder="1"/>
    <xf numFmtId="0" fontId="0" fillId="3" borderId="17" xfId="0" applyFill="1" applyBorder="1"/>
    <xf numFmtId="0" fontId="8" fillId="4" borderId="18" xfId="2" applyFont="1" applyFill="1" applyBorder="1" applyAlignment="1" applyProtection="1">
      <alignment horizontal="center"/>
    </xf>
    <xf numFmtId="0" fontId="8" fillId="4" borderId="19" xfId="2" applyFont="1" applyFill="1" applyBorder="1" applyAlignment="1" applyProtection="1">
      <alignment horizontal="center"/>
    </xf>
    <xf numFmtId="0" fontId="6" fillId="0" borderId="2" xfId="2" applyFont="1" applyFill="1" applyBorder="1"/>
    <xf numFmtId="0" fontId="4" fillId="2" borderId="3" xfId="0" applyFont="1" applyFill="1" applyBorder="1"/>
    <xf numFmtId="0" fontId="7" fillId="0" borderId="0" xfId="2" applyFont="1" applyFill="1" applyBorder="1"/>
    <xf numFmtId="2" fontId="0" fillId="2" borderId="5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17" fontId="6" fillId="0" borderId="0" xfId="2" applyNumberFormat="1" applyFont="1" applyFill="1" applyBorder="1" applyAlignment="1">
      <alignment horizontal="center"/>
    </xf>
    <xf numFmtId="164" fontId="7" fillId="0" borderId="0" xfId="1" applyNumberFormat="1" applyFont="1" applyFill="1" applyBorder="1" applyAlignment="1">
      <alignment horizontal="center"/>
    </xf>
    <xf numFmtId="0" fontId="0" fillId="0" borderId="0" xfId="0" applyFill="1"/>
    <xf numFmtId="166" fontId="7" fillId="0" borderId="0" xfId="1" applyNumberFormat="1" applyFont="1" applyFill="1" applyBorder="1" applyAlignment="1">
      <alignment horizontal="center"/>
    </xf>
    <xf numFmtId="17" fontId="0" fillId="0" borderId="21" xfId="0" applyNumberFormat="1" applyBorder="1"/>
    <xf numFmtId="0" fontId="10" fillId="0" borderId="21" xfId="0" applyFont="1" applyBorder="1"/>
    <xf numFmtId="0" fontId="0" fillId="0" borderId="0" xfId="0" applyBorder="1"/>
    <xf numFmtId="0" fontId="11" fillId="0" borderId="0" xfId="0" applyFont="1" applyFill="1" applyBorder="1"/>
    <xf numFmtId="0" fontId="11" fillId="0" borderId="0" xfId="0" applyFont="1" applyBorder="1"/>
    <xf numFmtId="0" fontId="12" fillId="0" borderId="0" xfId="0" applyFont="1" applyBorder="1"/>
    <xf numFmtId="0" fontId="12" fillId="0" borderId="0" xfId="0" applyFont="1" applyFill="1" applyBorder="1"/>
    <xf numFmtId="0" fontId="12" fillId="0" borderId="0" xfId="0" applyFont="1"/>
    <xf numFmtId="0" fontId="13" fillId="0" borderId="0" xfId="0" applyFont="1"/>
    <xf numFmtId="0" fontId="10" fillId="0" borderId="0" xfId="0" applyFont="1"/>
    <xf numFmtId="0" fontId="10" fillId="2" borderId="0" xfId="0" applyFont="1" applyFill="1"/>
    <xf numFmtId="3" fontId="0" fillId="0" borderId="0" xfId="0" applyNumberFormat="1"/>
    <xf numFmtId="17" fontId="12" fillId="0" borderId="0" xfId="0" applyNumberFormat="1" applyFont="1" applyBorder="1"/>
    <xf numFmtId="4" fontId="0" fillId="0" borderId="22" xfId="0" applyNumberFormat="1" applyBorder="1"/>
    <xf numFmtId="4" fontId="0" fillId="0" borderId="0" xfId="0" applyNumberFormat="1" applyBorder="1"/>
    <xf numFmtId="4" fontId="12" fillId="0" borderId="0" xfId="0" applyNumberFormat="1" applyFont="1" applyBorder="1"/>
    <xf numFmtId="4" fontId="12" fillId="0" borderId="0" xfId="0" applyNumberFormat="1" applyFont="1"/>
    <xf numFmtId="4" fontId="13" fillId="0" borderId="0" xfId="0" applyNumberFormat="1" applyFont="1"/>
    <xf numFmtId="4" fontId="10" fillId="2" borderId="0" xfId="0" applyNumberFormat="1" applyFont="1" applyFill="1"/>
    <xf numFmtId="4" fontId="11" fillId="0" borderId="0" xfId="0" applyNumberFormat="1" applyFont="1" applyBorder="1"/>
    <xf numFmtId="4" fontId="14" fillId="0" borderId="0" xfId="0" applyNumberFormat="1" applyFont="1" applyBorder="1"/>
    <xf numFmtId="4" fontId="14" fillId="0" borderId="0" xfId="0" applyNumberFormat="1" applyFont="1"/>
    <xf numFmtId="3" fontId="12" fillId="0" borderId="0" xfId="0" applyNumberFormat="1" applyFont="1"/>
    <xf numFmtId="4" fontId="14" fillId="2" borderId="0" xfId="0" applyNumberFormat="1" applyFont="1" applyFill="1"/>
    <xf numFmtId="4" fontId="0" fillId="2" borderId="0" xfId="0" applyNumberFormat="1" applyFill="1"/>
    <xf numFmtId="4" fontId="10" fillId="0" borderId="0" xfId="0" applyNumberFormat="1" applyFont="1"/>
    <xf numFmtId="4" fontId="0" fillId="0" borderId="0" xfId="0" applyNumberFormat="1" applyFill="1"/>
    <xf numFmtId="4" fontId="10" fillId="0" borderId="0" xfId="0" applyNumberFormat="1" applyFont="1" applyAlignment="1">
      <alignment horizontal="center"/>
    </xf>
    <xf numFmtId="0" fontId="10" fillId="0" borderId="0" xfId="0" applyFont="1" applyBorder="1"/>
    <xf numFmtId="17" fontId="0" fillId="0" borderId="0" xfId="0" applyNumberFormat="1" applyBorder="1"/>
    <xf numFmtId="17" fontId="0" fillId="0" borderId="0" xfId="0" applyNumberFormat="1"/>
    <xf numFmtId="4" fontId="0" fillId="0" borderId="21" xfId="0" applyNumberFormat="1" applyBorder="1"/>
    <xf numFmtId="17" fontId="0" fillId="0" borderId="21" xfId="0" applyNumberFormat="1" applyBorder="1" applyAlignment="1">
      <alignment horizontal="center"/>
    </xf>
    <xf numFmtId="17" fontId="0" fillId="0" borderId="0" xfId="0" applyNumberFormat="1" applyBorder="1" applyAlignment="1">
      <alignment horizontal="center"/>
    </xf>
    <xf numFmtId="0" fontId="16" fillId="0" borderId="0" xfId="0" applyFont="1"/>
    <xf numFmtId="4" fontId="16" fillId="0" borderId="0" xfId="0" applyNumberFormat="1" applyFont="1"/>
    <xf numFmtId="4" fontId="4" fillId="2" borderId="3" xfId="0" applyNumberFormat="1" applyFont="1" applyFill="1" applyBorder="1" applyAlignment="1">
      <alignment horizontal="center"/>
    </xf>
    <xf numFmtId="4" fontId="4" fillId="2" borderId="5" xfId="0" applyNumberFormat="1" applyFont="1" applyFill="1" applyBorder="1" applyAlignment="1">
      <alignment horizontal="center"/>
    </xf>
    <xf numFmtId="4" fontId="4" fillId="2" borderId="6" xfId="0" applyNumberFormat="1" applyFont="1" applyFill="1" applyBorder="1" applyAlignment="1">
      <alignment horizontal="center"/>
    </xf>
    <xf numFmtId="4" fontId="0" fillId="0" borderId="0" xfId="0" applyNumberFormat="1" applyAlignment="1"/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21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17" fontId="0" fillId="0" borderId="0" xfId="0" applyNumberFormat="1" applyAlignment="1">
      <alignment horizontal="center"/>
    </xf>
    <xf numFmtId="4" fontId="0" fillId="0" borderId="0" xfId="0" applyNumberFormat="1" applyFont="1"/>
    <xf numFmtId="4" fontId="10" fillId="0" borderId="0" xfId="0" applyNumberFormat="1" applyFont="1" applyBorder="1"/>
    <xf numFmtId="0" fontId="0" fillId="2" borderId="0" xfId="0" applyFill="1"/>
    <xf numFmtId="4" fontId="0" fillId="2" borderId="0" xfId="0" applyNumberFormat="1" applyFill="1" applyAlignment="1">
      <alignment horizontal="center"/>
    </xf>
    <xf numFmtId="4" fontId="0" fillId="2" borderId="0" xfId="0" applyNumberFormat="1" applyFill="1" applyBorder="1"/>
    <xf numFmtId="4" fontId="10" fillId="2" borderId="0" xfId="0" applyNumberFormat="1" applyFont="1" applyFill="1" applyAlignment="1">
      <alignment horizontal="center"/>
    </xf>
    <xf numFmtId="4" fontId="0" fillId="2" borderId="0" xfId="0" applyNumberFormat="1" applyFill="1" applyBorder="1" applyAlignment="1">
      <alignment horizontal="center"/>
    </xf>
    <xf numFmtId="4" fontId="13" fillId="2" borderId="0" xfId="0" applyNumberFormat="1" applyFont="1" applyFill="1" applyAlignment="1">
      <alignment horizontal="center"/>
    </xf>
    <xf numFmtId="4" fontId="13" fillId="2" borderId="0" xfId="0" applyNumberFormat="1" applyFont="1" applyFill="1"/>
    <xf numFmtId="0" fontId="0" fillId="2" borderId="0" xfId="0" applyFill="1" applyAlignment="1">
      <alignment horizontal="center"/>
    </xf>
    <xf numFmtId="0" fontId="15" fillId="0" borderId="0" xfId="0" applyFont="1"/>
    <xf numFmtId="4" fontId="17" fillId="0" borderId="0" xfId="0" applyNumberFormat="1" applyFont="1"/>
    <xf numFmtId="0" fontId="12" fillId="0" borderId="0" xfId="0" applyFont="1" applyBorder="1" applyAlignment="1">
      <alignment horizontal="center"/>
    </xf>
    <xf numFmtId="0" fontId="12" fillId="6" borderId="0" xfId="0" applyFont="1" applyFill="1" applyBorder="1" applyAlignment="1">
      <alignment horizontal="center"/>
    </xf>
    <xf numFmtId="4" fontId="17" fillId="6" borderId="0" xfId="0" applyNumberFormat="1" applyFont="1" applyFill="1"/>
    <xf numFmtId="0" fontId="0" fillId="6" borderId="0" xfId="0" applyFill="1"/>
    <xf numFmtId="0" fontId="0" fillId="6" borderId="0" xfId="0" applyFill="1" applyBorder="1"/>
    <xf numFmtId="4" fontId="0" fillId="6" borderId="0" xfId="0" applyNumberFormat="1" applyFill="1"/>
    <xf numFmtId="0" fontId="10" fillId="0" borderId="0" xfId="0" applyNumberFormat="1" applyFont="1" applyBorder="1"/>
    <xf numFmtId="4" fontId="18" fillId="0" borderId="0" xfId="0" applyNumberFormat="1" applyFont="1"/>
    <xf numFmtId="0" fontId="0" fillId="0" borderId="24" xfId="0" applyBorder="1"/>
    <xf numFmtId="4" fontId="0" fillId="0" borderId="25" xfId="0" applyNumberFormat="1" applyBorder="1"/>
    <xf numFmtId="4" fontId="10" fillId="0" borderId="26" xfId="0" applyNumberFormat="1" applyFont="1" applyBorder="1"/>
    <xf numFmtId="0" fontId="19" fillId="0" borderId="0" xfId="0" applyFont="1"/>
    <xf numFmtId="4" fontId="15" fillId="0" borderId="0" xfId="0" applyNumberFormat="1" applyFont="1" applyFill="1"/>
    <xf numFmtId="0" fontId="10" fillId="0" borderId="0" xfId="0" applyFont="1" applyFill="1"/>
    <xf numFmtId="4" fontId="10" fillId="0" borderId="0" xfId="0" applyNumberFormat="1" applyFont="1" applyFill="1"/>
    <xf numFmtId="17" fontId="0" fillId="0" borderId="27" xfId="0" applyNumberFormat="1" applyBorder="1"/>
    <xf numFmtId="0" fontId="10" fillId="0" borderId="22" xfId="0" applyFont="1" applyBorder="1" applyAlignment="1">
      <alignment horizontal="center"/>
    </xf>
    <xf numFmtId="4" fontId="0" fillId="0" borderId="22" xfId="0" applyNumberFormat="1" applyBorder="1" applyAlignment="1">
      <alignment horizontal="center"/>
    </xf>
    <xf numFmtId="4" fontId="0" fillId="0" borderId="28" xfId="0" applyNumberFormat="1" applyBorder="1"/>
    <xf numFmtId="4" fontId="10" fillId="0" borderId="22" xfId="0" applyNumberFormat="1" applyFont="1" applyBorder="1" applyAlignment="1">
      <alignment horizontal="center"/>
    </xf>
    <xf numFmtId="0" fontId="0" fillId="0" borderId="30" xfId="0" applyBorder="1"/>
    <xf numFmtId="4" fontId="0" fillId="0" borderId="31" xfId="0" applyNumberFormat="1" applyBorder="1" applyAlignment="1">
      <alignment horizontal="center"/>
    </xf>
    <xf numFmtId="4" fontId="0" fillId="0" borderId="31" xfId="0" applyNumberFormat="1" applyBorder="1"/>
    <xf numFmtId="4" fontId="0" fillId="0" borderId="32" xfId="0" applyNumberFormat="1" applyBorder="1"/>
    <xf numFmtId="0" fontId="0" fillId="0" borderId="33" xfId="0" applyBorder="1"/>
    <xf numFmtId="4" fontId="10" fillId="0" borderId="0" xfId="0" applyNumberFormat="1" applyFont="1" applyBorder="1" applyAlignment="1">
      <alignment horizontal="center"/>
    </xf>
    <xf numFmtId="4" fontId="0" fillId="0" borderId="34" xfId="0" applyNumberFormat="1" applyBorder="1"/>
    <xf numFmtId="17" fontId="0" fillId="0" borderId="33" xfId="0" applyNumberFormat="1" applyBorder="1"/>
    <xf numFmtId="0" fontId="0" fillId="0" borderId="0" xfId="0" applyBorder="1" applyAlignment="1">
      <alignment horizontal="center"/>
    </xf>
    <xf numFmtId="0" fontId="0" fillId="0" borderId="34" xfId="0" applyBorder="1"/>
    <xf numFmtId="4" fontId="10" fillId="0" borderId="0" xfId="0" applyNumberFormat="1" applyFont="1" applyBorder="1" applyAlignment="1"/>
    <xf numFmtId="0" fontId="0" fillId="0" borderId="35" xfId="0" applyBorder="1"/>
    <xf numFmtId="4" fontId="0" fillId="0" borderId="36" xfId="0" applyNumberFormat="1" applyBorder="1"/>
    <xf numFmtId="4" fontId="13" fillId="0" borderId="0" xfId="0" applyNumberFormat="1" applyFont="1" applyFill="1"/>
    <xf numFmtId="4" fontId="0" fillId="0" borderId="0" xfId="0" applyNumberFormat="1" applyFont="1" applyFill="1"/>
    <xf numFmtId="0" fontId="21" fillId="0" borderId="0" xfId="0" applyFont="1"/>
    <xf numFmtId="0" fontId="0" fillId="0" borderId="21" xfId="0" applyBorder="1"/>
    <xf numFmtId="0" fontId="0" fillId="0" borderId="0" xfId="0" applyBorder="1" applyAlignment="1"/>
    <xf numFmtId="0" fontId="0" fillId="0" borderId="31" xfId="0" applyBorder="1"/>
    <xf numFmtId="0" fontId="0" fillId="0" borderId="32" xfId="0" applyBorder="1"/>
    <xf numFmtId="0" fontId="10" fillId="0" borderId="33" xfId="0" applyFont="1" applyBorder="1"/>
    <xf numFmtId="4" fontId="10" fillId="0" borderId="34" xfId="0" applyNumberFormat="1" applyFont="1" applyBorder="1"/>
    <xf numFmtId="0" fontId="0" fillId="0" borderId="36" xfId="0" applyBorder="1"/>
    <xf numFmtId="0" fontId="12" fillId="6" borderId="0" xfId="0" applyFont="1" applyFill="1" applyBorder="1"/>
    <xf numFmtId="0" fontId="10" fillId="6" borderId="21" xfId="0" applyFont="1" applyFill="1" applyBorder="1"/>
    <xf numFmtId="0" fontId="12" fillId="6" borderId="21" xfId="0" applyFont="1" applyFill="1" applyBorder="1"/>
    <xf numFmtId="0" fontId="11" fillId="6" borderId="22" xfId="0" applyFont="1" applyFill="1" applyBorder="1"/>
    <xf numFmtId="0" fontId="12" fillId="6" borderId="22" xfId="0" applyFont="1" applyFill="1" applyBorder="1"/>
    <xf numFmtId="0" fontId="12" fillId="6" borderId="0" xfId="0" applyFont="1" applyFill="1"/>
    <xf numFmtId="0" fontId="22" fillId="0" borderId="0" xfId="0" applyFont="1"/>
    <xf numFmtId="4" fontId="5" fillId="0" borderId="0" xfId="0" applyNumberFormat="1" applyFont="1" applyFill="1"/>
    <xf numFmtId="4" fontId="22" fillId="0" borderId="0" xfId="0" applyNumberFormat="1" applyFont="1" applyFill="1" applyAlignment="1">
      <alignment horizontal="center"/>
    </xf>
    <xf numFmtId="4" fontId="24" fillId="0" borderId="0" xfId="0" applyNumberFormat="1" applyFont="1" applyFill="1"/>
    <xf numFmtId="4" fontId="10" fillId="6" borderId="5" xfId="0" applyNumberFormat="1" applyFont="1" applyFill="1" applyBorder="1"/>
    <xf numFmtId="4" fontId="20" fillId="6" borderId="5" xfId="0" applyNumberFormat="1" applyFont="1" applyFill="1" applyBorder="1" applyAlignment="1">
      <alignment horizontal="center"/>
    </xf>
    <xf numFmtId="4" fontId="11" fillId="6" borderId="5" xfId="0" applyNumberFormat="1" applyFont="1" applyFill="1" applyBorder="1"/>
    <xf numFmtId="4" fontId="15" fillId="6" borderId="5" xfId="0" applyNumberFormat="1" applyFont="1" applyFill="1" applyBorder="1"/>
    <xf numFmtId="4" fontId="11" fillId="6" borderId="6" xfId="0" applyNumberFormat="1" applyFont="1" applyFill="1" applyBorder="1"/>
    <xf numFmtId="4" fontId="15" fillId="6" borderId="29" xfId="0" applyNumberFormat="1" applyFont="1" applyFill="1" applyBorder="1"/>
    <xf numFmtId="0" fontId="10" fillId="6" borderId="0" xfId="0" applyFont="1" applyFill="1"/>
    <xf numFmtId="4" fontId="15" fillId="6" borderId="38" xfId="0" applyNumberFormat="1" applyFont="1" applyFill="1" applyBorder="1"/>
    <xf numFmtId="0" fontId="12" fillId="0" borderId="0" xfId="0" applyFont="1" applyFill="1"/>
    <xf numFmtId="4" fontId="10" fillId="0" borderId="37" xfId="0" applyNumberFormat="1" applyFont="1" applyBorder="1"/>
    <xf numFmtId="10" fontId="15" fillId="0" borderId="0" xfId="0" applyNumberFormat="1" applyFont="1" applyBorder="1"/>
    <xf numFmtId="4" fontId="15" fillId="0" borderId="0" xfId="0" applyNumberFormat="1" applyFont="1" applyBorder="1"/>
    <xf numFmtId="0" fontId="15" fillId="0" borderId="0" xfId="0" applyFont="1" applyBorder="1"/>
    <xf numFmtId="10" fontId="15" fillId="0" borderId="21" xfId="0" applyNumberFormat="1" applyFont="1" applyBorder="1"/>
    <xf numFmtId="4" fontId="15" fillId="0" borderId="21" xfId="0" applyNumberFormat="1" applyFont="1" applyBorder="1"/>
    <xf numFmtId="0" fontId="0" fillId="7" borderId="39" xfId="0" applyFill="1" applyBorder="1" applyAlignment="1">
      <alignment horizontal="left"/>
    </xf>
    <xf numFmtId="0" fontId="0" fillId="7" borderId="39" xfId="0" applyFill="1" applyBorder="1"/>
    <xf numFmtId="0" fontId="0" fillId="7" borderId="40" xfId="0" applyFill="1" applyBorder="1" applyAlignment="1">
      <alignment horizontal="left"/>
    </xf>
    <xf numFmtId="0" fontId="0" fillId="7" borderId="40" xfId="0" applyFill="1" applyBorder="1" applyAlignment="1">
      <alignment horizontal="center"/>
    </xf>
    <xf numFmtId="0" fontId="0" fillId="7" borderId="41" xfId="0" applyFill="1" applyBorder="1" applyAlignment="1">
      <alignment horizontal="left"/>
    </xf>
    <xf numFmtId="0" fontId="0" fillId="7" borderId="41" xfId="0" applyFill="1" applyBorder="1" applyAlignment="1">
      <alignment horizontal="center"/>
    </xf>
    <xf numFmtId="0" fontId="0" fillId="5" borderId="37" xfId="0" applyFill="1" applyBorder="1" applyAlignment="1">
      <alignment horizontal="left"/>
    </xf>
    <xf numFmtId="0" fontId="0" fillId="5" borderId="37" xfId="0" applyFill="1" applyBorder="1"/>
    <xf numFmtId="0" fontId="14" fillId="0" borderId="0" xfId="0" applyFont="1"/>
    <xf numFmtId="0" fontId="0" fillId="0" borderId="37" xfId="0" applyBorder="1" applyAlignment="1">
      <alignment horizontal="left"/>
    </xf>
    <xf numFmtId="0" fontId="0" fillId="0" borderId="37" xfId="0" applyBorder="1"/>
    <xf numFmtId="0" fontId="0" fillId="0" borderId="42" xfId="0" applyBorder="1"/>
    <xf numFmtId="0" fontId="0" fillId="7" borderId="43" xfId="0" applyFill="1" applyBorder="1"/>
    <xf numFmtId="0" fontId="0" fillId="5" borderId="41" xfId="0" applyFill="1" applyBorder="1"/>
    <xf numFmtId="0" fontId="0" fillId="7" borderId="44" xfId="0" applyFill="1" applyBorder="1"/>
    <xf numFmtId="0" fontId="0" fillId="8" borderId="37" xfId="0" applyFill="1" applyBorder="1" applyAlignment="1">
      <alignment horizontal="left"/>
    </xf>
    <xf numFmtId="0" fontId="14" fillId="8" borderId="37" xfId="0" applyFont="1" applyFill="1" applyBorder="1"/>
    <xf numFmtId="0" fontId="0" fillId="8" borderId="41" xfId="0" applyFill="1" applyBorder="1"/>
    <xf numFmtId="166" fontId="0" fillId="0" borderId="41" xfId="0" applyNumberFormat="1" applyBorder="1"/>
    <xf numFmtId="166" fontId="0" fillId="0" borderId="37" xfId="0" applyNumberFormat="1" applyBorder="1"/>
    <xf numFmtId="166" fontId="0" fillId="0" borderId="42" xfId="0" applyNumberFormat="1" applyBorder="1"/>
    <xf numFmtId="4" fontId="14" fillId="0" borderId="0" xfId="0" applyNumberFormat="1" applyFont="1" applyFill="1"/>
    <xf numFmtId="4" fontId="15" fillId="0" borderId="0" xfId="0" applyNumberFormat="1" applyFont="1"/>
    <xf numFmtId="10" fontId="0" fillId="7" borderId="39" xfId="0" applyNumberFormat="1" applyFill="1" applyBorder="1"/>
    <xf numFmtId="10" fontId="0" fillId="7" borderId="40" xfId="0" applyNumberFormat="1" applyFill="1" applyBorder="1" applyAlignment="1">
      <alignment horizontal="center"/>
    </xf>
    <xf numFmtId="10" fontId="0" fillId="7" borderId="41" xfId="0" applyNumberFormat="1" applyFill="1" applyBorder="1" applyAlignment="1">
      <alignment horizontal="center"/>
    </xf>
    <xf numFmtId="10" fontId="0" fillId="5" borderId="37" xfId="0" applyNumberFormat="1" applyFill="1" applyBorder="1"/>
    <xf numFmtId="10" fontId="0" fillId="0" borderId="37" xfId="0" applyNumberFormat="1" applyBorder="1"/>
    <xf numFmtId="10" fontId="0" fillId="0" borderId="42" xfId="0" applyNumberFormat="1" applyBorder="1"/>
    <xf numFmtId="10" fontId="0" fillId="7" borderId="43" xfId="0" applyNumberFormat="1" applyFill="1" applyBorder="1"/>
    <xf numFmtId="10" fontId="0" fillId="5" borderId="41" xfId="0" applyNumberFormat="1" applyFill="1" applyBorder="1"/>
    <xf numFmtId="10" fontId="0" fillId="7" borderId="44" xfId="0" applyNumberFormat="1" applyFill="1" applyBorder="1"/>
    <xf numFmtId="10" fontId="0" fillId="8" borderId="41" xfId="0" applyNumberFormat="1" applyFill="1" applyBorder="1"/>
    <xf numFmtId="10" fontId="0" fillId="0" borderId="41" xfId="0" applyNumberFormat="1" applyBorder="1"/>
    <xf numFmtId="10" fontId="0" fillId="0" borderId="0" xfId="0" applyNumberFormat="1"/>
    <xf numFmtId="10" fontId="22" fillId="7" borderId="37" xfId="0" applyNumberFormat="1" applyFont="1" applyFill="1" applyBorder="1"/>
    <xf numFmtId="4" fontId="0" fillId="7" borderId="37" xfId="0" applyNumberFormat="1" applyFill="1" applyBorder="1" applyAlignment="1">
      <alignment horizontal="center"/>
    </xf>
    <xf numFmtId="0" fontId="22" fillId="7" borderId="37" xfId="0" applyFont="1" applyFill="1" applyBorder="1" applyAlignment="1">
      <alignment horizontal="center"/>
    </xf>
    <xf numFmtId="10" fontId="22" fillId="7" borderId="37" xfId="0" applyNumberFormat="1" applyFont="1" applyFill="1" applyBorder="1" applyAlignment="1">
      <alignment horizontal="center"/>
    </xf>
    <xf numFmtId="4" fontId="0" fillId="7" borderId="41" xfId="0" applyNumberFormat="1" applyFill="1" applyBorder="1" applyAlignment="1">
      <alignment horizontal="center"/>
    </xf>
    <xf numFmtId="0" fontId="22" fillId="7" borderId="41" xfId="0" applyFont="1" applyFill="1" applyBorder="1" applyAlignment="1">
      <alignment horizontal="center"/>
    </xf>
    <xf numFmtId="4" fontId="0" fillId="5" borderId="37" xfId="0" applyNumberFormat="1" applyFill="1" applyBorder="1"/>
    <xf numFmtId="0" fontId="22" fillId="5" borderId="37" xfId="0" applyFont="1" applyFill="1" applyBorder="1"/>
    <xf numFmtId="4" fontId="0" fillId="0" borderId="37" xfId="0" applyNumberFormat="1" applyBorder="1"/>
    <xf numFmtId="10" fontId="22" fillId="0" borderId="37" xfId="0" applyNumberFormat="1" applyFont="1" applyBorder="1"/>
    <xf numFmtId="0" fontId="22" fillId="0" borderId="37" xfId="0" applyFont="1" applyBorder="1"/>
    <xf numFmtId="4" fontId="0" fillId="0" borderId="42" xfId="0" applyNumberFormat="1" applyBorder="1"/>
    <xf numFmtId="0" fontId="22" fillId="0" borderId="42" xfId="0" applyFont="1" applyBorder="1"/>
    <xf numFmtId="4" fontId="10" fillId="7" borderId="43" xfId="0" applyNumberFormat="1" applyFont="1" applyFill="1" applyBorder="1"/>
    <xf numFmtId="4" fontId="23" fillId="7" borderId="43" xfId="0" applyNumberFormat="1" applyFont="1" applyFill="1" applyBorder="1"/>
    <xf numFmtId="4" fontId="0" fillId="5" borderId="41" xfId="0" applyNumberFormat="1" applyFill="1" applyBorder="1"/>
    <xf numFmtId="0" fontId="22" fillId="5" borderId="41" xfId="0" applyFont="1" applyFill="1" applyBorder="1"/>
    <xf numFmtId="4" fontId="0" fillId="0" borderId="41" xfId="0" applyNumberFormat="1" applyFill="1" applyBorder="1"/>
    <xf numFmtId="4" fontId="22" fillId="0" borderId="41" xfId="0" applyNumberFormat="1" applyFont="1" applyFill="1" applyBorder="1"/>
    <xf numFmtId="4" fontId="0" fillId="0" borderId="37" xfId="0" applyNumberFormat="1" applyFill="1" applyBorder="1"/>
    <xf numFmtId="0" fontId="22" fillId="0" borderId="37" xfId="0" applyFont="1" applyFill="1" applyBorder="1"/>
    <xf numFmtId="10" fontId="22" fillId="0" borderId="37" xfId="0" applyNumberFormat="1" applyFont="1" applyFill="1" applyBorder="1"/>
    <xf numFmtId="4" fontId="22" fillId="0" borderId="37" xfId="0" applyNumberFormat="1" applyFont="1" applyFill="1" applyBorder="1"/>
    <xf numFmtId="4" fontId="0" fillId="7" borderId="43" xfId="0" applyNumberFormat="1" applyFill="1" applyBorder="1"/>
    <xf numFmtId="4" fontId="22" fillId="7" borderId="43" xfId="0" applyNumberFormat="1" applyFont="1" applyFill="1" applyBorder="1"/>
    <xf numFmtId="4" fontId="15" fillId="8" borderId="41" xfId="0" applyNumberFormat="1" applyFont="1" applyFill="1" applyBorder="1"/>
    <xf numFmtId="4" fontId="25" fillId="8" borderId="41" xfId="0" applyNumberFormat="1" applyFont="1" applyFill="1" applyBorder="1"/>
    <xf numFmtId="4" fontId="0" fillId="0" borderId="41" xfId="0" applyNumberFormat="1" applyBorder="1"/>
    <xf numFmtId="4" fontId="25" fillId="0" borderId="0" xfId="0" applyNumberFormat="1" applyFont="1"/>
    <xf numFmtId="10" fontId="22" fillId="7" borderId="43" xfId="0" applyNumberFormat="1" applyFont="1" applyFill="1" applyBorder="1"/>
    <xf numFmtId="10" fontId="22" fillId="0" borderId="41" xfId="0" applyNumberFormat="1" applyFont="1" applyBorder="1"/>
    <xf numFmtId="10" fontId="22" fillId="0" borderId="42" xfId="0" applyNumberFormat="1" applyFont="1" applyBorder="1"/>
    <xf numFmtId="10" fontId="22" fillId="0" borderId="39" xfId="0" applyNumberFormat="1" applyFont="1" applyBorder="1"/>
    <xf numFmtId="10" fontId="22" fillId="7" borderId="41" xfId="0" applyNumberFormat="1" applyFont="1" applyFill="1" applyBorder="1"/>
    <xf numFmtId="4" fontId="15" fillId="8" borderId="43" xfId="0" applyNumberFormat="1" applyFont="1" applyFill="1" applyBorder="1"/>
    <xf numFmtId="4" fontId="26" fillId="0" borderId="0" xfId="0" applyNumberFormat="1" applyFont="1"/>
    <xf numFmtId="0" fontId="26" fillId="0" borderId="0" xfId="0" applyFont="1"/>
    <xf numFmtId="4" fontId="12" fillId="0" borderId="0" xfId="0" applyNumberFormat="1" applyFont="1" applyFill="1"/>
    <xf numFmtId="4" fontId="2" fillId="0" borderId="0" xfId="0" applyNumberFormat="1" applyFont="1" applyFill="1" applyAlignment="1">
      <alignment horizontal="center"/>
    </xf>
    <xf numFmtId="4" fontId="20" fillId="0" borderId="0" xfId="0" applyNumberFormat="1" applyFont="1" applyFill="1" applyAlignment="1">
      <alignment horizontal="center"/>
    </xf>
    <xf numFmtId="4" fontId="19" fillId="0" borderId="0" xfId="0" applyNumberFormat="1" applyFont="1" applyFill="1"/>
    <xf numFmtId="4" fontId="11" fillId="0" borderId="0" xfId="0" applyNumberFormat="1" applyFont="1" applyFill="1"/>
    <xf numFmtId="4" fontId="15" fillId="0" borderId="22" xfId="0" applyNumberFormat="1" applyFont="1" applyFill="1" applyBorder="1"/>
    <xf numFmtId="4" fontId="2" fillId="0" borderId="0" xfId="0" applyNumberFormat="1" applyFont="1" applyFill="1"/>
    <xf numFmtId="0" fontId="11" fillId="0" borderId="0" xfId="0" applyFont="1" applyFill="1"/>
    <xf numFmtId="0" fontId="19" fillId="0" borderId="0" xfId="0" applyFont="1" applyFill="1"/>
    <xf numFmtId="0" fontId="15" fillId="0" borderId="27" xfId="0" applyFont="1" applyFill="1" applyBorder="1"/>
    <xf numFmtId="0" fontId="15" fillId="0" borderId="0" xfId="0" applyFont="1" applyFill="1"/>
    <xf numFmtId="0" fontId="13" fillId="0" borderId="0" xfId="0" applyFont="1" applyFill="1"/>
    <xf numFmtId="4" fontId="15" fillId="0" borderId="28" xfId="0" applyNumberFormat="1" applyFont="1" applyFill="1" applyBorder="1"/>
    <xf numFmtId="3" fontId="12" fillId="0" borderId="0" xfId="0" applyNumberFormat="1" applyFont="1" applyAlignment="1">
      <alignment horizontal="right"/>
    </xf>
    <xf numFmtId="3" fontId="12" fillId="0" borderId="0" xfId="0" applyNumberFormat="1" applyFont="1" applyAlignment="1">
      <alignment horizontal="center"/>
    </xf>
    <xf numFmtId="4" fontId="12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6" fontId="7" fillId="2" borderId="0" xfId="1" applyNumberFormat="1" applyFont="1" applyFill="1" applyBorder="1" applyAlignment="1">
      <alignment horizontal="center"/>
    </xf>
    <xf numFmtId="0" fontId="7" fillId="2" borderId="0" xfId="2" applyFont="1" applyFill="1" applyBorder="1"/>
    <xf numFmtId="10" fontId="0" fillId="2" borderId="5" xfId="0" applyNumberFormat="1" applyFill="1" applyBorder="1" applyAlignment="1">
      <alignment horizontal="center"/>
    </xf>
    <xf numFmtId="0" fontId="2" fillId="2" borderId="0" xfId="3" applyFont="1" applyFill="1" applyBorder="1" applyAlignment="1" applyProtection="1"/>
    <xf numFmtId="166" fontId="7" fillId="2" borderId="2" xfId="1" applyNumberFormat="1" applyFont="1" applyFill="1" applyBorder="1" applyAlignment="1">
      <alignment horizontal="center"/>
    </xf>
    <xf numFmtId="0" fontId="7" fillId="2" borderId="2" xfId="2" applyFont="1" applyFill="1" applyBorder="1"/>
    <xf numFmtId="10" fontId="0" fillId="2" borderId="6" xfId="0" applyNumberFormat="1" applyFill="1" applyBorder="1" applyAlignment="1">
      <alignment horizontal="center"/>
    </xf>
    <xf numFmtId="0" fontId="2" fillId="2" borderId="2" xfId="3" applyFont="1" applyFill="1" applyBorder="1" applyAlignment="1" applyProtection="1"/>
    <xf numFmtId="0" fontId="4" fillId="2" borderId="2" xfId="0" applyFont="1" applyFill="1" applyBorder="1"/>
    <xf numFmtId="0" fontId="4" fillId="2" borderId="17" xfId="0" applyFont="1" applyFill="1" applyBorder="1"/>
    <xf numFmtId="0" fontId="2" fillId="2" borderId="13" xfId="0" applyFont="1" applyFill="1" applyBorder="1"/>
    <xf numFmtId="0" fontId="2" fillId="2" borderId="17" xfId="0" applyFont="1" applyFill="1" applyBorder="1"/>
    <xf numFmtId="4" fontId="27" fillId="0" borderId="0" xfId="0" applyNumberFormat="1" applyFont="1" applyFill="1" applyAlignment="1">
      <alignment horizontal="center"/>
    </xf>
    <xf numFmtId="4" fontId="26" fillId="0" borderId="0" xfId="0" applyNumberFormat="1" applyFont="1" applyFill="1"/>
    <xf numFmtId="0" fontId="28" fillId="0" borderId="0" xfId="0" applyFont="1" applyFill="1"/>
    <xf numFmtId="0" fontId="26" fillId="0" borderId="0" xfId="0" applyFont="1" applyFill="1"/>
    <xf numFmtId="4" fontId="12" fillId="0" borderId="0" xfId="0" applyNumberFormat="1" applyFont="1" applyFill="1" applyBorder="1"/>
    <xf numFmtId="0" fontId="12" fillId="0" borderId="27" xfId="0" applyFont="1" applyFill="1" applyBorder="1"/>
    <xf numFmtId="4" fontId="12" fillId="0" borderId="22" xfId="0" applyNumberFormat="1" applyFont="1" applyFill="1" applyBorder="1"/>
    <xf numFmtId="0" fontId="26" fillId="0" borderId="22" xfId="0" applyFont="1" applyBorder="1"/>
    <xf numFmtId="4" fontId="12" fillId="0" borderId="28" xfId="0" applyNumberFormat="1" applyFont="1" applyFill="1" applyBorder="1"/>
    <xf numFmtId="0" fontId="12" fillId="0" borderId="7" xfId="0" applyFont="1" applyFill="1" applyBorder="1"/>
    <xf numFmtId="0" fontId="26" fillId="0" borderId="8" xfId="0" applyFont="1" applyFill="1" applyBorder="1"/>
    <xf numFmtId="0" fontId="26" fillId="0" borderId="9" xfId="0" applyFont="1" applyFill="1" applyBorder="1"/>
    <xf numFmtId="4" fontId="26" fillId="0" borderId="4" xfId="0" applyNumberFormat="1" applyFont="1" applyFill="1" applyBorder="1"/>
    <xf numFmtId="4" fontId="26" fillId="0" borderId="0" xfId="0" applyNumberFormat="1" applyFont="1" applyFill="1" applyBorder="1"/>
    <xf numFmtId="4" fontId="26" fillId="0" borderId="13" xfId="0" applyNumberFormat="1" applyFont="1" applyFill="1" applyBorder="1"/>
    <xf numFmtId="4" fontId="12" fillId="0" borderId="13" xfId="0" applyNumberFormat="1" applyFont="1" applyFill="1" applyBorder="1"/>
    <xf numFmtId="0" fontId="26" fillId="0" borderId="1" xfId="0" applyFont="1" applyFill="1" applyBorder="1"/>
    <xf numFmtId="0" fontId="26" fillId="0" borderId="2" xfId="0" applyFont="1" applyFill="1" applyBorder="1"/>
    <xf numFmtId="0" fontId="26" fillId="0" borderId="17" xfId="0" applyFont="1" applyFill="1" applyBorder="1"/>
    <xf numFmtId="4" fontId="0" fillId="0" borderId="0" xfId="0" applyNumberFormat="1" applyFont="1" applyAlignment="1">
      <alignment horizontal="center"/>
    </xf>
    <xf numFmtId="4" fontId="14" fillId="0" borderId="0" xfId="0" applyNumberFormat="1" applyFont="1" applyBorder="1" applyAlignment="1">
      <alignment horizontal="center"/>
    </xf>
    <xf numFmtId="0" fontId="14" fillId="0" borderId="0" xfId="0" applyFont="1" applyBorder="1"/>
    <xf numFmtId="4" fontId="10" fillId="6" borderId="0" xfId="0" applyNumberFormat="1" applyFont="1" applyFill="1" applyBorder="1" applyAlignment="1">
      <alignment horizontal="center"/>
    </xf>
    <xf numFmtId="4" fontId="0" fillId="3" borderId="0" xfId="0" applyNumberFormat="1" applyFill="1"/>
    <xf numFmtId="0" fontId="0" fillId="3" borderId="0" xfId="0" applyFill="1"/>
    <xf numFmtId="4" fontId="14" fillId="8" borderId="41" xfId="0" applyNumberFormat="1" applyFont="1" applyFill="1" applyBorder="1"/>
    <xf numFmtId="4" fontId="14" fillId="8" borderId="43" xfId="0" applyNumberFormat="1" applyFont="1" applyFill="1" applyBorder="1"/>
    <xf numFmtId="4" fontId="4" fillId="0" borderId="5" xfId="0" applyNumberFormat="1" applyFont="1" applyFill="1" applyBorder="1" applyAlignment="1" applyProtection="1">
      <alignment horizontal="center"/>
      <protection locked="0"/>
    </xf>
    <xf numFmtId="17" fontId="0" fillId="6" borderId="21" xfId="0" applyNumberFormat="1" applyFill="1" applyBorder="1"/>
    <xf numFmtId="4" fontId="12" fillId="6" borderId="21" xfId="0" applyNumberFormat="1" applyFont="1" applyFill="1" applyBorder="1"/>
    <xf numFmtId="4" fontId="11" fillId="6" borderId="22" xfId="0" applyNumberFormat="1" applyFont="1" applyFill="1" applyBorder="1"/>
    <xf numFmtId="4" fontId="12" fillId="6" borderId="22" xfId="0" applyNumberFormat="1" applyFont="1" applyFill="1" applyBorder="1"/>
    <xf numFmtId="4" fontId="12" fillId="6" borderId="0" xfId="0" applyNumberFormat="1" applyFont="1" applyFill="1" applyBorder="1"/>
    <xf numFmtId="4" fontId="12" fillId="6" borderId="0" xfId="0" applyNumberFormat="1" applyFont="1" applyFill="1"/>
    <xf numFmtId="0" fontId="22" fillId="2" borderId="0" xfId="0" applyFont="1" applyFill="1"/>
    <xf numFmtId="17" fontId="23" fillId="2" borderId="0" xfId="0" applyNumberFormat="1" applyFont="1" applyFill="1" applyBorder="1" applyAlignment="1">
      <alignment horizontal="center"/>
    </xf>
    <xf numFmtId="4" fontId="5" fillId="2" borderId="0" xfId="0" applyNumberFormat="1" applyFont="1" applyFill="1"/>
    <xf numFmtId="4" fontId="30" fillId="2" borderId="0" xfId="0" applyNumberFormat="1" applyFont="1" applyFill="1" applyAlignment="1">
      <alignment horizontal="center"/>
    </xf>
    <xf numFmtId="3" fontId="0" fillId="2" borderId="0" xfId="0" applyNumberFormat="1" applyFill="1"/>
    <xf numFmtId="0" fontId="12" fillId="2" borderId="0" xfId="0" applyFont="1" applyFill="1"/>
    <xf numFmtId="3" fontId="12" fillId="2" borderId="0" xfId="0" applyNumberFormat="1" applyFont="1" applyFill="1"/>
    <xf numFmtId="4" fontId="12" fillId="2" borderId="0" xfId="0" applyNumberFormat="1" applyFont="1" applyFill="1"/>
    <xf numFmtId="0" fontId="15" fillId="2" borderId="0" xfId="0" applyFont="1" applyFill="1" applyAlignment="1">
      <alignment horizontal="right"/>
    </xf>
    <xf numFmtId="4" fontId="29" fillId="2" borderId="0" xfId="0" applyNumberFormat="1" applyFont="1" applyFill="1" applyAlignment="1">
      <alignment horizontal="center"/>
    </xf>
    <xf numFmtId="4" fontId="5" fillId="0" borderId="0" xfId="0" applyNumberFormat="1" applyFont="1" applyFill="1" applyAlignment="1" applyProtection="1">
      <alignment horizontal="center"/>
      <protection locked="0"/>
    </xf>
    <xf numFmtId="4" fontId="13" fillId="0" borderId="0" xfId="0" applyNumberFormat="1" applyFont="1" applyAlignment="1" applyProtection="1">
      <alignment horizontal="right"/>
      <protection locked="0"/>
    </xf>
    <xf numFmtId="4" fontId="13" fillId="0" borderId="0" xfId="0" applyNumberFormat="1" applyFont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4" fontId="0" fillId="0" borderId="0" xfId="0" applyNumberFormat="1" applyFill="1" applyProtection="1">
      <protection locked="0"/>
    </xf>
    <xf numFmtId="4" fontId="0" fillId="0" borderId="0" xfId="0" applyNumberFormat="1" applyProtection="1">
      <protection locked="0"/>
    </xf>
    <xf numFmtId="4" fontId="0" fillId="0" borderId="0" xfId="0" applyNumberFormat="1" applyBorder="1" applyProtection="1">
      <protection locked="0"/>
    </xf>
    <xf numFmtId="0" fontId="0" fillId="0" borderId="0" xfId="0" applyFill="1" applyAlignment="1">
      <alignment horizontal="center"/>
    </xf>
    <xf numFmtId="17" fontId="0" fillId="0" borderId="21" xfId="0" applyNumberFormat="1" applyFill="1" applyBorder="1" applyAlignment="1">
      <alignment horizontal="center"/>
    </xf>
    <xf numFmtId="4" fontId="0" fillId="0" borderId="21" xfId="0" applyNumberFormat="1" applyFill="1" applyBorder="1" applyAlignment="1">
      <alignment horizontal="center"/>
    </xf>
    <xf numFmtId="17" fontId="0" fillId="0" borderId="0" xfId="0" applyNumberFormat="1" applyFill="1" applyBorder="1" applyAlignment="1">
      <alignment horizontal="center"/>
    </xf>
    <xf numFmtId="4" fontId="10" fillId="6" borderId="23" xfId="0" applyNumberFormat="1" applyFont="1" applyFill="1" applyBorder="1" applyAlignment="1">
      <alignment horizontal="center"/>
    </xf>
    <xf numFmtId="4" fontId="24" fillId="6" borderId="23" xfId="0" applyNumberFormat="1" applyFont="1" applyFill="1" applyBorder="1" applyAlignment="1">
      <alignment horizontal="center"/>
    </xf>
    <xf numFmtId="4" fontId="0" fillId="7" borderId="39" xfId="0" applyNumberFormat="1" applyFill="1" applyBorder="1" applyAlignment="1">
      <alignment horizontal="center"/>
    </xf>
    <xf numFmtId="0" fontId="22" fillId="7" borderId="39" xfId="0" applyFont="1" applyFill="1" applyBorder="1" applyAlignment="1">
      <alignment horizontal="center"/>
    </xf>
    <xf numFmtId="4" fontId="31" fillId="7" borderId="37" xfId="0" applyNumberFormat="1" applyFont="1" applyFill="1" applyBorder="1" applyAlignment="1">
      <alignment horizontal="center"/>
    </xf>
    <xf numFmtId="0" fontId="8" fillId="4" borderId="10" xfId="2" applyFont="1" applyFill="1" applyBorder="1" applyAlignment="1">
      <alignment horizontal="center" vertical="center"/>
    </xf>
    <xf numFmtId="0" fontId="8" fillId="4" borderId="14" xfId="2" applyFont="1" applyFill="1" applyBorder="1" applyAlignment="1">
      <alignment horizontal="center" vertical="center"/>
    </xf>
    <xf numFmtId="0" fontId="8" fillId="4" borderId="11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/>
    </xf>
    <xf numFmtId="0" fontId="8" fillId="4" borderId="12" xfId="2" applyFont="1" applyFill="1" applyBorder="1" applyAlignment="1">
      <alignment horizontal="center" vertical="center" wrapText="1"/>
    </xf>
    <xf numFmtId="0" fontId="8" fillId="4" borderId="16" xfId="2" applyFont="1" applyFill="1" applyBorder="1" applyAlignment="1">
      <alignment horizontal="center" vertical="center" wrapText="1"/>
    </xf>
    <xf numFmtId="0" fontId="8" fillId="4" borderId="20" xfId="2" applyFont="1" applyFill="1" applyBorder="1" applyAlignment="1">
      <alignment horizontal="center" vertical="center" wrapText="1"/>
    </xf>
    <xf numFmtId="0" fontId="8" fillId="4" borderId="15" xfId="2" applyFont="1" applyFill="1" applyBorder="1" applyAlignment="1">
      <alignment horizontal="center" vertical="center"/>
    </xf>
    <xf numFmtId="0" fontId="8" fillId="4" borderId="19" xfId="2" applyFont="1" applyFill="1" applyBorder="1" applyAlignment="1">
      <alignment horizontal="center" vertical="center"/>
    </xf>
    <xf numFmtId="0" fontId="8" fillId="4" borderId="19" xfId="2" applyFont="1" applyFill="1" applyBorder="1" applyAlignment="1">
      <alignment horizontal="center" vertical="center" wrapText="1"/>
    </xf>
  </cellXfs>
  <cellStyles count="4">
    <cellStyle name="ANCLAS,REZONES Y SUS PARTES,DE FUNDICION,DE HIERRO O DE ACERO 2" xfId="2"/>
    <cellStyle name="Hipervínculo" xfId="3" builtinId="8"/>
    <cellStyle name="Normal" xfId="0" builtinId="0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'8-EVEGyD HIST'!$B$53:$B$57</c:f>
              <c:strCache>
                <c:ptCount val="5"/>
                <c:pt idx="0">
                  <c:v>Remuneraciones al personal</c:v>
                </c:pt>
                <c:pt idx="1">
                  <c:v>Remuneraciones al Personal Directivo y Ejecutivo</c:v>
                </c:pt>
                <c:pt idx="2">
                  <c:v>Al Estado (impuestos, tasas y contribuciones)</c:v>
                </c:pt>
                <c:pt idx="3">
                  <c:v>Retribución al capital de terceros</c:v>
                </c:pt>
                <c:pt idx="4">
                  <c:v>Retribución a los propietarios</c:v>
                </c:pt>
              </c:strCache>
            </c:strRef>
          </c:cat>
          <c:val>
            <c:numRef>
              <c:f>'8-EVEGyD HIST'!$C$53:$C$57</c:f>
              <c:numCache>
                <c:formatCode>0.00%</c:formatCode>
                <c:ptCount val="5"/>
                <c:pt idx="0">
                  <c:v>0.35256015673494229</c:v>
                </c:pt>
                <c:pt idx="1">
                  <c:v>3.5418942810422169E-2</c:v>
                </c:pt>
                <c:pt idx="2">
                  <c:v>0.3484302062446244</c:v>
                </c:pt>
                <c:pt idx="3">
                  <c:v>1.0877086499195044E-2</c:v>
                </c:pt>
                <c:pt idx="4">
                  <c:v>0.25271360771081608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72954874153865"/>
          <c:y val="0.22447847516295971"/>
          <c:w val="0.33931230289456676"/>
          <c:h val="0.53799661363956652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555" l="0.70000000000000062" r="0.70000000000000062" t="0.750000000000005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'9-EVEGyD AJUST'!$B$54:$B$58</c:f>
              <c:strCache>
                <c:ptCount val="5"/>
                <c:pt idx="0">
                  <c:v>Remuneraciones al personal</c:v>
                </c:pt>
                <c:pt idx="1">
                  <c:v>Remuneraciones al Personal Directivo y Ejecutivo</c:v>
                </c:pt>
                <c:pt idx="2">
                  <c:v>Al Estado (impuestos, tasas y contribuciones)</c:v>
                </c:pt>
                <c:pt idx="3">
                  <c:v>Retribución al capital de terceros</c:v>
                </c:pt>
                <c:pt idx="4">
                  <c:v>Retribución a los propietarios</c:v>
                </c:pt>
              </c:strCache>
            </c:strRef>
          </c:cat>
          <c:val>
            <c:numRef>
              <c:f>'9-EVEGyD AJUST'!$C$54:$C$58</c:f>
              <c:numCache>
                <c:formatCode>0.00%</c:formatCode>
                <c:ptCount val="5"/>
                <c:pt idx="0">
                  <c:v>0.45272144352571875</c:v>
                </c:pt>
                <c:pt idx="1">
                  <c:v>4.5649214285204132E-2</c:v>
                </c:pt>
                <c:pt idx="2">
                  <c:v>0.34785707386585762</c:v>
                </c:pt>
                <c:pt idx="3">
                  <c:v>1.3043672882397802E-2</c:v>
                </c:pt>
                <c:pt idx="4">
                  <c:v>0.14072859544082161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72954874153865"/>
          <c:y val="0.22447847516295971"/>
          <c:w val="0.3393123028945671"/>
          <c:h val="0.53799661363956686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'10-EVEGyD IMPOSIT AJ'!$B$53:$B$57</c:f>
              <c:strCache>
                <c:ptCount val="5"/>
                <c:pt idx="0">
                  <c:v>Remuneraciones al personal</c:v>
                </c:pt>
                <c:pt idx="1">
                  <c:v>Remuneraciones al Personal Directivo y Ejecutivo</c:v>
                </c:pt>
                <c:pt idx="2">
                  <c:v>Al Estado (impuestos, tasas y contribuciones)</c:v>
                </c:pt>
                <c:pt idx="3">
                  <c:v>Retribución al capital de terceros</c:v>
                </c:pt>
                <c:pt idx="4">
                  <c:v>Retribución a los propietarios</c:v>
                </c:pt>
              </c:strCache>
            </c:strRef>
          </c:cat>
          <c:val>
            <c:numRef>
              <c:f>'10-EVEGyD IMPOSIT AJ'!$C$53:$C$57</c:f>
              <c:numCache>
                <c:formatCode>0.00%</c:formatCode>
                <c:ptCount val="5"/>
                <c:pt idx="0">
                  <c:v>0.39021360639513802</c:v>
                </c:pt>
                <c:pt idx="1">
                  <c:v>3.9201688406182239E-2</c:v>
                </c:pt>
                <c:pt idx="2">
                  <c:v>0.3482625521605886</c:v>
                </c:pt>
                <c:pt idx="3">
                  <c:v>1.2038760106161771E-2</c:v>
                </c:pt>
                <c:pt idx="4">
                  <c:v>0.21028339293192949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72954874153865"/>
          <c:y val="0.22447847516295971"/>
          <c:w val="0.33931230289456743"/>
          <c:h val="0.537996613639567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EVEGyD</a:t>
            </a:r>
            <a:r>
              <a:rPr lang="es-AR" baseline="0"/>
              <a:t> HISTORICO</a:t>
            </a:r>
            <a:endParaRPr lang="es-AR"/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'8-EVEGyD HIST'!$B$53:$B$57</c:f>
              <c:strCache>
                <c:ptCount val="5"/>
                <c:pt idx="0">
                  <c:v>Remuneraciones al personal</c:v>
                </c:pt>
                <c:pt idx="1">
                  <c:v>Remuneraciones al Personal Directivo y Ejecutivo</c:v>
                </c:pt>
                <c:pt idx="2">
                  <c:v>Al Estado (impuestos, tasas y contribuciones)</c:v>
                </c:pt>
                <c:pt idx="3">
                  <c:v>Retribución al capital de terceros</c:v>
                </c:pt>
                <c:pt idx="4">
                  <c:v>Retribución a los propietarios</c:v>
                </c:pt>
              </c:strCache>
            </c:strRef>
          </c:cat>
          <c:val>
            <c:numRef>
              <c:f>'8-EVEGyD HIST'!$C$53:$C$57</c:f>
              <c:numCache>
                <c:formatCode>0.00%</c:formatCode>
                <c:ptCount val="5"/>
                <c:pt idx="0">
                  <c:v>0.35256015673494229</c:v>
                </c:pt>
                <c:pt idx="1">
                  <c:v>3.5418942810422169E-2</c:v>
                </c:pt>
                <c:pt idx="2">
                  <c:v>0.3484302062446244</c:v>
                </c:pt>
                <c:pt idx="3">
                  <c:v>1.0877086499195044E-2</c:v>
                </c:pt>
                <c:pt idx="4">
                  <c:v>0.25271360771081608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72954874153865"/>
          <c:y val="0.22447847516295971"/>
          <c:w val="0.3393123028945671"/>
          <c:h val="0.53799661363956686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577" l="0.70000000000000062" r="0.70000000000000062" t="0.75000000000000577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EVEGyD AJ IMPOSITIVO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'10-EVEGyD IMPOSIT AJ'!$B$53:$B$57</c:f>
              <c:strCache>
                <c:ptCount val="5"/>
                <c:pt idx="0">
                  <c:v>Remuneraciones al personal</c:v>
                </c:pt>
                <c:pt idx="1">
                  <c:v>Remuneraciones al Personal Directivo y Ejecutivo</c:v>
                </c:pt>
                <c:pt idx="2">
                  <c:v>Al Estado (impuestos, tasas y contribuciones)</c:v>
                </c:pt>
                <c:pt idx="3">
                  <c:v>Retribución al capital de terceros</c:v>
                </c:pt>
                <c:pt idx="4">
                  <c:v>Retribución a los propietarios</c:v>
                </c:pt>
              </c:strCache>
            </c:strRef>
          </c:cat>
          <c:val>
            <c:numRef>
              <c:f>'10-EVEGyD IMPOSIT AJ'!$C$53:$C$57</c:f>
              <c:numCache>
                <c:formatCode>0.00%</c:formatCode>
                <c:ptCount val="5"/>
                <c:pt idx="0">
                  <c:v>0.39021360639513802</c:v>
                </c:pt>
                <c:pt idx="1">
                  <c:v>3.9201688406182239E-2</c:v>
                </c:pt>
                <c:pt idx="2">
                  <c:v>0.3482625521605886</c:v>
                </c:pt>
                <c:pt idx="3">
                  <c:v>1.2038760106161771E-2</c:v>
                </c:pt>
                <c:pt idx="4">
                  <c:v>0.21028339293192949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72954874153865"/>
          <c:y val="0.22447847516295971"/>
          <c:w val="0.33931230289456776"/>
          <c:h val="0.53799661363956774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622" l="0.70000000000000062" r="0.70000000000000062" t="0.750000000000006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AR"/>
              <a:t>EVEGyD AJ CONTABLE</a:t>
            </a:r>
          </a:p>
        </c:rich>
      </c:tx>
      <c:layout/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'9-EVEGyD AJUST'!$B$54:$B$58</c:f>
              <c:strCache>
                <c:ptCount val="5"/>
                <c:pt idx="0">
                  <c:v>Remuneraciones al personal</c:v>
                </c:pt>
                <c:pt idx="1">
                  <c:v>Remuneraciones al Personal Directivo y Ejecutivo</c:v>
                </c:pt>
                <c:pt idx="2">
                  <c:v>Al Estado (impuestos, tasas y contribuciones)</c:v>
                </c:pt>
                <c:pt idx="3">
                  <c:v>Retribución al capital de terceros</c:v>
                </c:pt>
                <c:pt idx="4">
                  <c:v>Retribución a los propietarios</c:v>
                </c:pt>
              </c:strCache>
            </c:strRef>
          </c:cat>
          <c:val>
            <c:numRef>
              <c:f>'9-EVEGyD AJUST'!$C$54:$C$58</c:f>
              <c:numCache>
                <c:formatCode>0.00%</c:formatCode>
                <c:ptCount val="5"/>
                <c:pt idx="0">
                  <c:v>0.45272144352571875</c:v>
                </c:pt>
                <c:pt idx="1">
                  <c:v>4.5649214285204132E-2</c:v>
                </c:pt>
                <c:pt idx="2">
                  <c:v>0.34785707386585762</c:v>
                </c:pt>
                <c:pt idx="3">
                  <c:v>1.3043672882397802E-2</c:v>
                </c:pt>
                <c:pt idx="4">
                  <c:v>0.14072859544082161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4872954874153865"/>
          <c:y val="0.22447847516295971"/>
          <c:w val="0.33931230289456743"/>
          <c:h val="0.5379966136395673"/>
        </c:manualLayout>
      </c:layout>
      <c:overlay val="0"/>
    </c:legend>
    <c:plotVisOnly val="1"/>
    <c:dispBlanksAs val="zero"/>
    <c:showDLblsOverMax val="0"/>
  </c:chart>
  <c:printSettings>
    <c:headerFooter/>
    <c:pageMargins b="0.750000000000006" l="0.70000000000000062" r="0.70000000000000062" t="0.75000000000000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180975</xdr:rowOff>
    </xdr:from>
    <xdr:to>
      <xdr:col>5</xdr:col>
      <xdr:colOff>1400175</xdr:colOff>
      <xdr:row>85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58</xdr:row>
      <xdr:rowOff>180975</xdr:rowOff>
    </xdr:from>
    <xdr:to>
      <xdr:col>5</xdr:col>
      <xdr:colOff>1400175</xdr:colOff>
      <xdr:row>86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57</xdr:row>
      <xdr:rowOff>180975</xdr:rowOff>
    </xdr:from>
    <xdr:to>
      <xdr:col>5</xdr:col>
      <xdr:colOff>1400175</xdr:colOff>
      <xdr:row>85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85725</xdr:rowOff>
    </xdr:from>
    <xdr:to>
      <xdr:col>8</xdr:col>
      <xdr:colOff>85725</xdr:colOff>
      <xdr:row>18</xdr:row>
      <xdr:rowOff>76200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9525</xdr:colOff>
      <xdr:row>39</xdr:row>
      <xdr:rowOff>38100</xdr:rowOff>
    </xdr:from>
    <xdr:to>
      <xdr:col>8</xdr:col>
      <xdr:colOff>95250</xdr:colOff>
      <xdr:row>56</xdr:row>
      <xdr:rowOff>28575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9525</xdr:colOff>
      <xdr:row>20</xdr:row>
      <xdr:rowOff>57150</xdr:rowOff>
    </xdr:from>
    <xdr:to>
      <xdr:col>8</xdr:col>
      <xdr:colOff>95250</xdr:colOff>
      <xdr:row>37</xdr:row>
      <xdr:rowOff>47625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conomia.gob.ar/download/infoeco/apendice4.xlsx" TargetMode="External"/><Relationship Id="rId1" Type="http://schemas.openxmlformats.org/officeDocument/2006/relationships/hyperlink" Target="http://www.economia.gob.ar/download/infoeco/apendice4.xlsx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workbookViewId="0"/>
  </sheetViews>
  <sheetFormatPr baseColWidth="10" defaultRowHeight="15" x14ac:dyDescent="0.25"/>
  <cols>
    <col min="3" max="3" width="16.7109375" bestFit="1" customWidth="1"/>
    <col min="4" max="4" width="13.140625" bestFit="1" customWidth="1"/>
    <col min="5" max="6" width="0" hidden="1" customWidth="1"/>
    <col min="8" max="9" width="0" hidden="1" customWidth="1"/>
    <col min="11" max="11" width="9.85546875" bestFit="1" customWidth="1"/>
    <col min="12" max="12" width="47.85546875" bestFit="1" customWidth="1"/>
    <col min="259" max="259" width="16.7109375" bestFit="1" customWidth="1"/>
    <col min="261" max="262" width="0" hidden="1" customWidth="1"/>
    <col min="264" max="265" width="0" hidden="1" customWidth="1"/>
    <col min="267" max="267" width="9.85546875" bestFit="1" customWidth="1"/>
    <col min="268" max="268" width="47.85546875" bestFit="1" customWidth="1"/>
    <col min="515" max="515" width="16.7109375" bestFit="1" customWidth="1"/>
    <col min="517" max="518" width="0" hidden="1" customWidth="1"/>
    <col min="520" max="521" width="0" hidden="1" customWidth="1"/>
    <col min="523" max="523" width="9.85546875" bestFit="1" customWidth="1"/>
    <col min="524" max="524" width="47.85546875" bestFit="1" customWidth="1"/>
    <col min="771" max="771" width="16.7109375" bestFit="1" customWidth="1"/>
    <col min="773" max="774" width="0" hidden="1" customWidth="1"/>
    <col min="776" max="777" width="0" hidden="1" customWidth="1"/>
    <col min="779" max="779" width="9.85546875" bestFit="1" customWidth="1"/>
    <col min="780" max="780" width="47.85546875" bestFit="1" customWidth="1"/>
    <col min="1027" max="1027" width="16.7109375" bestFit="1" customWidth="1"/>
    <col min="1029" max="1030" width="0" hidden="1" customWidth="1"/>
    <col min="1032" max="1033" width="0" hidden="1" customWidth="1"/>
    <col min="1035" max="1035" width="9.85546875" bestFit="1" customWidth="1"/>
    <col min="1036" max="1036" width="47.85546875" bestFit="1" customWidth="1"/>
    <col min="1283" max="1283" width="16.7109375" bestFit="1" customWidth="1"/>
    <col min="1285" max="1286" width="0" hidden="1" customWidth="1"/>
    <col min="1288" max="1289" width="0" hidden="1" customWidth="1"/>
    <col min="1291" max="1291" width="9.85546875" bestFit="1" customWidth="1"/>
    <col min="1292" max="1292" width="47.85546875" bestFit="1" customWidth="1"/>
    <col min="1539" max="1539" width="16.7109375" bestFit="1" customWidth="1"/>
    <col min="1541" max="1542" width="0" hidden="1" customWidth="1"/>
    <col min="1544" max="1545" width="0" hidden="1" customWidth="1"/>
    <col min="1547" max="1547" width="9.85546875" bestFit="1" customWidth="1"/>
    <col min="1548" max="1548" width="47.85546875" bestFit="1" customWidth="1"/>
    <col min="1795" max="1795" width="16.7109375" bestFit="1" customWidth="1"/>
    <col min="1797" max="1798" width="0" hidden="1" customWidth="1"/>
    <col min="1800" max="1801" width="0" hidden="1" customWidth="1"/>
    <col min="1803" max="1803" width="9.85546875" bestFit="1" customWidth="1"/>
    <col min="1804" max="1804" width="47.85546875" bestFit="1" customWidth="1"/>
    <col min="2051" max="2051" width="16.7109375" bestFit="1" customWidth="1"/>
    <col min="2053" max="2054" width="0" hidden="1" customWidth="1"/>
    <col min="2056" max="2057" width="0" hidden="1" customWidth="1"/>
    <col min="2059" max="2059" width="9.85546875" bestFit="1" customWidth="1"/>
    <col min="2060" max="2060" width="47.85546875" bestFit="1" customWidth="1"/>
    <col min="2307" max="2307" width="16.7109375" bestFit="1" customWidth="1"/>
    <col min="2309" max="2310" width="0" hidden="1" customWidth="1"/>
    <col min="2312" max="2313" width="0" hidden="1" customWidth="1"/>
    <col min="2315" max="2315" width="9.85546875" bestFit="1" customWidth="1"/>
    <col min="2316" max="2316" width="47.85546875" bestFit="1" customWidth="1"/>
    <col min="2563" max="2563" width="16.7109375" bestFit="1" customWidth="1"/>
    <col min="2565" max="2566" width="0" hidden="1" customWidth="1"/>
    <col min="2568" max="2569" width="0" hidden="1" customWidth="1"/>
    <col min="2571" max="2571" width="9.85546875" bestFit="1" customWidth="1"/>
    <col min="2572" max="2572" width="47.85546875" bestFit="1" customWidth="1"/>
    <col min="2819" max="2819" width="16.7109375" bestFit="1" customWidth="1"/>
    <col min="2821" max="2822" width="0" hidden="1" customWidth="1"/>
    <col min="2824" max="2825" width="0" hidden="1" customWidth="1"/>
    <col min="2827" max="2827" width="9.85546875" bestFit="1" customWidth="1"/>
    <col min="2828" max="2828" width="47.85546875" bestFit="1" customWidth="1"/>
    <col min="3075" max="3075" width="16.7109375" bestFit="1" customWidth="1"/>
    <col min="3077" max="3078" width="0" hidden="1" customWidth="1"/>
    <col min="3080" max="3081" width="0" hidden="1" customWidth="1"/>
    <col min="3083" max="3083" width="9.85546875" bestFit="1" customWidth="1"/>
    <col min="3084" max="3084" width="47.85546875" bestFit="1" customWidth="1"/>
    <col min="3331" max="3331" width="16.7109375" bestFit="1" customWidth="1"/>
    <col min="3333" max="3334" width="0" hidden="1" customWidth="1"/>
    <col min="3336" max="3337" width="0" hidden="1" customWidth="1"/>
    <col min="3339" max="3339" width="9.85546875" bestFit="1" customWidth="1"/>
    <col min="3340" max="3340" width="47.85546875" bestFit="1" customWidth="1"/>
    <col min="3587" max="3587" width="16.7109375" bestFit="1" customWidth="1"/>
    <col min="3589" max="3590" width="0" hidden="1" customWidth="1"/>
    <col min="3592" max="3593" width="0" hidden="1" customWidth="1"/>
    <col min="3595" max="3595" width="9.85546875" bestFit="1" customWidth="1"/>
    <col min="3596" max="3596" width="47.85546875" bestFit="1" customWidth="1"/>
    <col min="3843" max="3843" width="16.7109375" bestFit="1" customWidth="1"/>
    <col min="3845" max="3846" width="0" hidden="1" customWidth="1"/>
    <col min="3848" max="3849" width="0" hidden="1" customWidth="1"/>
    <col min="3851" max="3851" width="9.85546875" bestFit="1" customWidth="1"/>
    <col min="3852" max="3852" width="47.85546875" bestFit="1" customWidth="1"/>
    <col min="4099" max="4099" width="16.7109375" bestFit="1" customWidth="1"/>
    <col min="4101" max="4102" width="0" hidden="1" customWidth="1"/>
    <col min="4104" max="4105" width="0" hidden="1" customWidth="1"/>
    <col min="4107" max="4107" width="9.85546875" bestFit="1" customWidth="1"/>
    <col min="4108" max="4108" width="47.85546875" bestFit="1" customWidth="1"/>
    <col min="4355" max="4355" width="16.7109375" bestFit="1" customWidth="1"/>
    <col min="4357" max="4358" width="0" hidden="1" customWidth="1"/>
    <col min="4360" max="4361" width="0" hidden="1" customWidth="1"/>
    <col min="4363" max="4363" width="9.85546875" bestFit="1" customWidth="1"/>
    <col min="4364" max="4364" width="47.85546875" bestFit="1" customWidth="1"/>
    <col min="4611" max="4611" width="16.7109375" bestFit="1" customWidth="1"/>
    <col min="4613" max="4614" width="0" hidden="1" customWidth="1"/>
    <col min="4616" max="4617" width="0" hidden="1" customWidth="1"/>
    <col min="4619" max="4619" width="9.85546875" bestFit="1" customWidth="1"/>
    <col min="4620" max="4620" width="47.85546875" bestFit="1" customWidth="1"/>
    <col min="4867" max="4867" width="16.7109375" bestFit="1" customWidth="1"/>
    <col min="4869" max="4870" width="0" hidden="1" customWidth="1"/>
    <col min="4872" max="4873" width="0" hidden="1" customWidth="1"/>
    <col min="4875" max="4875" width="9.85546875" bestFit="1" customWidth="1"/>
    <col min="4876" max="4876" width="47.85546875" bestFit="1" customWidth="1"/>
    <col min="5123" max="5123" width="16.7109375" bestFit="1" customWidth="1"/>
    <col min="5125" max="5126" width="0" hidden="1" customWidth="1"/>
    <col min="5128" max="5129" width="0" hidden="1" customWidth="1"/>
    <col min="5131" max="5131" width="9.85546875" bestFit="1" customWidth="1"/>
    <col min="5132" max="5132" width="47.85546875" bestFit="1" customWidth="1"/>
    <col min="5379" max="5379" width="16.7109375" bestFit="1" customWidth="1"/>
    <col min="5381" max="5382" width="0" hidden="1" customWidth="1"/>
    <col min="5384" max="5385" width="0" hidden="1" customWidth="1"/>
    <col min="5387" max="5387" width="9.85546875" bestFit="1" customWidth="1"/>
    <col min="5388" max="5388" width="47.85546875" bestFit="1" customWidth="1"/>
    <col min="5635" max="5635" width="16.7109375" bestFit="1" customWidth="1"/>
    <col min="5637" max="5638" width="0" hidden="1" customWidth="1"/>
    <col min="5640" max="5641" width="0" hidden="1" customWidth="1"/>
    <col min="5643" max="5643" width="9.85546875" bestFit="1" customWidth="1"/>
    <col min="5644" max="5644" width="47.85546875" bestFit="1" customWidth="1"/>
    <col min="5891" max="5891" width="16.7109375" bestFit="1" customWidth="1"/>
    <col min="5893" max="5894" width="0" hidden="1" customWidth="1"/>
    <col min="5896" max="5897" width="0" hidden="1" customWidth="1"/>
    <col min="5899" max="5899" width="9.85546875" bestFit="1" customWidth="1"/>
    <col min="5900" max="5900" width="47.85546875" bestFit="1" customWidth="1"/>
    <col min="6147" max="6147" width="16.7109375" bestFit="1" customWidth="1"/>
    <col min="6149" max="6150" width="0" hidden="1" customWidth="1"/>
    <col min="6152" max="6153" width="0" hidden="1" customWidth="1"/>
    <col min="6155" max="6155" width="9.85546875" bestFit="1" customWidth="1"/>
    <col min="6156" max="6156" width="47.85546875" bestFit="1" customWidth="1"/>
    <col min="6403" max="6403" width="16.7109375" bestFit="1" customWidth="1"/>
    <col min="6405" max="6406" width="0" hidden="1" customWidth="1"/>
    <col min="6408" max="6409" width="0" hidden="1" customWidth="1"/>
    <col min="6411" max="6411" width="9.85546875" bestFit="1" customWidth="1"/>
    <col min="6412" max="6412" width="47.85546875" bestFit="1" customWidth="1"/>
    <col min="6659" max="6659" width="16.7109375" bestFit="1" customWidth="1"/>
    <col min="6661" max="6662" width="0" hidden="1" customWidth="1"/>
    <col min="6664" max="6665" width="0" hidden="1" customWidth="1"/>
    <col min="6667" max="6667" width="9.85546875" bestFit="1" customWidth="1"/>
    <col min="6668" max="6668" width="47.85546875" bestFit="1" customWidth="1"/>
    <col min="6915" max="6915" width="16.7109375" bestFit="1" customWidth="1"/>
    <col min="6917" max="6918" width="0" hidden="1" customWidth="1"/>
    <col min="6920" max="6921" width="0" hidden="1" customWidth="1"/>
    <col min="6923" max="6923" width="9.85546875" bestFit="1" customWidth="1"/>
    <col min="6924" max="6924" width="47.85546875" bestFit="1" customWidth="1"/>
    <col min="7171" max="7171" width="16.7109375" bestFit="1" customWidth="1"/>
    <col min="7173" max="7174" width="0" hidden="1" customWidth="1"/>
    <col min="7176" max="7177" width="0" hidden="1" customWidth="1"/>
    <col min="7179" max="7179" width="9.85546875" bestFit="1" customWidth="1"/>
    <col min="7180" max="7180" width="47.85546875" bestFit="1" customWidth="1"/>
    <col min="7427" max="7427" width="16.7109375" bestFit="1" customWidth="1"/>
    <col min="7429" max="7430" width="0" hidden="1" customWidth="1"/>
    <col min="7432" max="7433" width="0" hidden="1" customWidth="1"/>
    <col min="7435" max="7435" width="9.85546875" bestFit="1" customWidth="1"/>
    <col min="7436" max="7436" width="47.85546875" bestFit="1" customWidth="1"/>
    <col min="7683" max="7683" width="16.7109375" bestFit="1" customWidth="1"/>
    <col min="7685" max="7686" width="0" hidden="1" customWidth="1"/>
    <col min="7688" max="7689" width="0" hidden="1" customWidth="1"/>
    <col min="7691" max="7691" width="9.85546875" bestFit="1" customWidth="1"/>
    <col min="7692" max="7692" width="47.85546875" bestFit="1" customWidth="1"/>
    <col min="7939" max="7939" width="16.7109375" bestFit="1" customWidth="1"/>
    <col min="7941" max="7942" width="0" hidden="1" customWidth="1"/>
    <col min="7944" max="7945" width="0" hidden="1" customWidth="1"/>
    <col min="7947" max="7947" width="9.85546875" bestFit="1" customWidth="1"/>
    <col min="7948" max="7948" width="47.85546875" bestFit="1" customWidth="1"/>
    <col min="8195" max="8195" width="16.7109375" bestFit="1" customWidth="1"/>
    <col min="8197" max="8198" width="0" hidden="1" customWidth="1"/>
    <col min="8200" max="8201" width="0" hidden="1" customWidth="1"/>
    <col min="8203" max="8203" width="9.85546875" bestFit="1" customWidth="1"/>
    <col min="8204" max="8204" width="47.85546875" bestFit="1" customWidth="1"/>
    <col min="8451" max="8451" width="16.7109375" bestFit="1" customWidth="1"/>
    <col min="8453" max="8454" width="0" hidden="1" customWidth="1"/>
    <col min="8456" max="8457" width="0" hidden="1" customWidth="1"/>
    <col min="8459" max="8459" width="9.85546875" bestFit="1" customWidth="1"/>
    <col min="8460" max="8460" width="47.85546875" bestFit="1" customWidth="1"/>
    <col min="8707" max="8707" width="16.7109375" bestFit="1" customWidth="1"/>
    <col min="8709" max="8710" width="0" hidden="1" customWidth="1"/>
    <col min="8712" max="8713" width="0" hidden="1" customWidth="1"/>
    <col min="8715" max="8715" width="9.85546875" bestFit="1" customWidth="1"/>
    <col min="8716" max="8716" width="47.85546875" bestFit="1" customWidth="1"/>
    <col min="8963" max="8963" width="16.7109375" bestFit="1" customWidth="1"/>
    <col min="8965" max="8966" width="0" hidden="1" customWidth="1"/>
    <col min="8968" max="8969" width="0" hidden="1" customWidth="1"/>
    <col min="8971" max="8971" width="9.85546875" bestFit="1" customWidth="1"/>
    <col min="8972" max="8972" width="47.85546875" bestFit="1" customWidth="1"/>
    <col min="9219" max="9219" width="16.7109375" bestFit="1" customWidth="1"/>
    <col min="9221" max="9222" width="0" hidden="1" customWidth="1"/>
    <col min="9224" max="9225" width="0" hidden="1" customWidth="1"/>
    <col min="9227" max="9227" width="9.85546875" bestFit="1" customWidth="1"/>
    <col min="9228" max="9228" width="47.85546875" bestFit="1" customWidth="1"/>
    <col min="9475" max="9475" width="16.7109375" bestFit="1" customWidth="1"/>
    <col min="9477" max="9478" width="0" hidden="1" customWidth="1"/>
    <col min="9480" max="9481" width="0" hidden="1" customWidth="1"/>
    <col min="9483" max="9483" width="9.85546875" bestFit="1" customWidth="1"/>
    <col min="9484" max="9484" width="47.85546875" bestFit="1" customWidth="1"/>
    <col min="9731" max="9731" width="16.7109375" bestFit="1" customWidth="1"/>
    <col min="9733" max="9734" width="0" hidden="1" customWidth="1"/>
    <col min="9736" max="9737" width="0" hidden="1" customWidth="1"/>
    <col min="9739" max="9739" width="9.85546875" bestFit="1" customWidth="1"/>
    <col min="9740" max="9740" width="47.85546875" bestFit="1" customWidth="1"/>
    <col min="9987" max="9987" width="16.7109375" bestFit="1" customWidth="1"/>
    <col min="9989" max="9990" width="0" hidden="1" customWidth="1"/>
    <col min="9992" max="9993" width="0" hidden="1" customWidth="1"/>
    <col min="9995" max="9995" width="9.85546875" bestFit="1" customWidth="1"/>
    <col min="9996" max="9996" width="47.85546875" bestFit="1" customWidth="1"/>
    <col min="10243" max="10243" width="16.7109375" bestFit="1" customWidth="1"/>
    <col min="10245" max="10246" width="0" hidden="1" customWidth="1"/>
    <col min="10248" max="10249" width="0" hidden="1" customWidth="1"/>
    <col min="10251" max="10251" width="9.85546875" bestFit="1" customWidth="1"/>
    <col min="10252" max="10252" width="47.85546875" bestFit="1" customWidth="1"/>
    <col min="10499" max="10499" width="16.7109375" bestFit="1" customWidth="1"/>
    <col min="10501" max="10502" width="0" hidden="1" customWidth="1"/>
    <col min="10504" max="10505" width="0" hidden="1" customWidth="1"/>
    <col min="10507" max="10507" width="9.85546875" bestFit="1" customWidth="1"/>
    <col min="10508" max="10508" width="47.85546875" bestFit="1" customWidth="1"/>
    <col min="10755" max="10755" width="16.7109375" bestFit="1" customWidth="1"/>
    <col min="10757" max="10758" width="0" hidden="1" customWidth="1"/>
    <col min="10760" max="10761" width="0" hidden="1" customWidth="1"/>
    <col min="10763" max="10763" width="9.85546875" bestFit="1" customWidth="1"/>
    <col min="10764" max="10764" width="47.85546875" bestFit="1" customWidth="1"/>
    <col min="11011" max="11011" width="16.7109375" bestFit="1" customWidth="1"/>
    <col min="11013" max="11014" width="0" hidden="1" customWidth="1"/>
    <col min="11016" max="11017" width="0" hidden="1" customWidth="1"/>
    <col min="11019" max="11019" width="9.85546875" bestFit="1" customWidth="1"/>
    <col min="11020" max="11020" width="47.85546875" bestFit="1" customWidth="1"/>
    <col min="11267" max="11267" width="16.7109375" bestFit="1" customWidth="1"/>
    <col min="11269" max="11270" width="0" hidden="1" customWidth="1"/>
    <col min="11272" max="11273" width="0" hidden="1" customWidth="1"/>
    <col min="11275" max="11275" width="9.85546875" bestFit="1" customWidth="1"/>
    <col min="11276" max="11276" width="47.85546875" bestFit="1" customWidth="1"/>
    <col min="11523" max="11523" width="16.7109375" bestFit="1" customWidth="1"/>
    <col min="11525" max="11526" width="0" hidden="1" customWidth="1"/>
    <col min="11528" max="11529" width="0" hidden="1" customWidth="1"/>
    <col min="11531" max="11531" width="9.85546875" bestFit="1" customWidth="1"/>
    <col min="11532" max="11532" width="47.85546875" bestFit="1" customWidth="1"/>
    <col min="11779" max="11779" width="16.7109375" bestFit="1" customWidth="1"/>
    <col min="11781" max="11782" width="0" hidden="1" customWidth="1"/>
    <col min="11784" max="11785" width="0" hidden="1" customWidth="1"/>
    <col min="11787" max="11787" width="9.85546875" bestFit="1" customWidth="1"/>
    <col min="11788" max="11788" width="47.85546875" bestFit="1" customWidth="1"/>
    <col min="12035" max="12035" width="16.7109375" bestFit="1" customWidth="1"/>
    <col min="12037" max="12038" width="0" hidden="1" customWidth="1"/>
    <col min="12040" max="12041" width="0" hidden="1" customWidth="1"/>
    <col min="12043" max="12043" width="9.85546875" bestFit="1" customWidth="1"/>
    <col min="12044" max="12044" width="47.85546875" bestFit="1" customWidth="1"/>
    <col min="12291" max="12291" width="16.7109375" bestFit="1" customWidth="1"/>
    <col min="12293" max="12294" width="0" hidden="1" customWidth="1"/>
    <col min="12296" max="12297" width="0" hidden="1" customWidth="1"/>
    <col min="12299" max="12299" width="9.85546875" bestFit="1" customWidth="1"/>
    <col min="12300" max="12300" width="47.85546875" bestFit="1" customWidth="1"/>
    <col min="12547" max="12547" width="16.7109375" bestFit="1" customWidth="1"/>
    <col min="12549" max="12550" width="0" hidden="1" customWidth="1"/>
    <col min="12552" max="12553" width="0" hidden="1" customWidth="1"/>
    <col min="12555" max="12555" width="9.85546875" bestFit="1" customWidth="1"/>
    <col min="12556" max="12556" width="47.85546875" bestFit="1" customWidth="1"/>
    <col min="12803" max="12803" width="16.7109375" bestFit="1" customWidth="1"/>
    <col min="12805" max="12806" width="0" hidden="1" customWidth="1"/>
    <col min="12808" max="12809" width="0" hidden="1" customWidth="1"/>
    <col min="12811" max="12811" width="9.85546875" bestFit="1" customWidth="1"/>
    <col min="12812" max="12812" width="47.85546875" bestFit="1" customWidth="1"/>
    <col min="13059" max="13059" width="16.7109375" bestFit="1" customWidth="1"/>
    <col min="13061" max="13062" width="0" hidden="1" customWidth="1"/>
    <col min="13064" max="13065" width="0" hidden="1" customWidth="1"/>
    <col min="13067" max="13067" width="9.85546875" bestFit="1" customWidth="1"/>
    <col min="13068" max="13068" width="47.85546875" bestFit="1" customWidth="1"/>
    <col min="13315" max="13315" width="16.7109375" bestFit="1" customWidth="1"/>
    <col min="13317" max="13318" width="0" hidden="1" customWidth="1"/>
    <col min="13320" max="13321" width="0" hidden="1" customWidth="1"/>
    <col min="13323" max="13323" width="9.85546875" bestFit="1" customWidth="1"/>
    <col min="13324" max="13324" width="47.85546875" bestFit="1" customWidth="1"/>
    <col min="13571" max="13571" width="16.7109375" bestFit="1" customWidth="1"/>
    <col min="13573" max="13574" width="0" hidden="1" customWidth="1"/>
    <col min="13576" max="13577" width="0" hidden="1" customWidth="1"/>
    <col min="13579" max="13579" width="9.85546875" bestFit="1" customWidth="1"/>
    <col min="13580" max="13580" width="47.85546875" bestFit="1" customWidth="1"/>
    <col min="13827" max="13827" width="16.7109375" bestFit="1" customWidth="1"/>
    <col min="13829" max="13830" width="0" hidden="1" customWidth="1"/>
    <col min="13832" max="13833" width="0" hidden="1" customWidth="1"/>
    <col min="13835" max="13835" width="9.85546875" bestFit="1" customWidth="1"/>
    <col min="13836" max="13836" width="47.85546875" bestFit="1" customWidth="1"/>
    <col min="14083" max="14083" width="16.7109375" bestFit="1" customWidth="1"/>
    <col min="14085" max="14086" width="0" hidden="1" customWidth="1"/>
    <col min="14088" max="14089" width="0" hidden="1" customWidth="1"/>
    <col min="14091" max="14091" width="9.85546875" bestFit="1" customWidth="1"/>
    <col min="14092" max="14092" width="47.85546875" bestFit="1" customWidth="1"/>
    <col min="14339" max="14339" width="16.7109375" bestFit="1" customWidth="1"/>
    <col min="14341" max="14342" width="0" hidden="1" customWidth="1"/>
    <col min="14344" max="14345" width="0" hidden="1" customWidth="1"/>
    <col min="14347" max="14347" width="9.85546875" bestFit="1" customWidth="1"/>
    <col min="14348" max="14348" width="47.85546875" bestFit="1" customWidth="1"/>
    <col min="14595" max="14595" width="16.7109375" bestFit="1" customWidth="1"/>
    <col min="14597" max="14598" width="0" hidden="1" customWidth="1"/>
    <col min="14600" max="14601" width="0" hidden="1" customWidth="1"/>
    <col min="14603" max="14603" width="9.85546875" bestFit="1" customWidth="1"/>
    <col min="14604" max="14604" width="47.85546875" bestFit="1" customWidth="1"/>
    <col min="14851" max="14851" width="16.7109375" bestFit="1" customWidth="1"/>
    <col min="14853" max="14854" width="0" hidden="1" customWidth="1"/>
    <col min="14856" max="14857" width="0" hidden="1" customWidth="1"/>
    <col min="14859" max="14859" width="9.85546875" bestFit="1" customWidth="1"/>
    <col min="14860" max="14860" width="47.85546875" bestFit="1" customWidth="1"/>
    <col min="15107" max="15107" width="16.7109375" bestFit="1" customWidth="1"/>
    <col min="15109" max="15110" width="0" hidden="1" customWidth="1"/>
    <col min="15112" max="15113" width="0" hidden="1" customWidth="1"/>
    <col min="15115" max="15115" width="9.85546875" bestFit="1" customWidth="1"/>
    <col min="15116" max="15116" width="47.85546875" bestFit="1" customWidth="1"/>
    <col min="15363" max="15363" width="16.7109375" bestFit="1" customWidth="1"/>
    <col min="15365" max="15366" width="0" hidden="1" customWidth="1"/>
    <col min="15368" max="15369" width="0" hidden="1" customWidth="1"/>
    <col min="15371" max="15371" width="9.85546875" bestFit="1" customWidth="1"/>
    <col min="15372" max="15372" width="47.85546875" bestFit="1" customWidth="1"/>
    <col min="15619" max="15619" width="16.7109375" bestFit="1" customWidth="1"/>
    <col min="15621" max="15622" width="0" hidden="1" customWidth="1"/>
    <col min="15624" max="15625" width="0" hidden="1" customWidth="1"/>
    <col min="15627" max="15627" width="9.85546875" bestFit="1" customWidth="1"/>
    <col min="15628" max="15628" width="47.85546875" bestFit="1" customWidth="1"/>
    <col min="15875" max="15875" width="16.7109375" bestFit="1" customWidth="1"/>
    <col min="15877" max="15878" width="0" hidden="1" customWidth="1"/>
    <col min="15880" max="15881" width="0" hidden="1" customWidth="1"/>
    <col min="15883" max="15883" width="9.85546875" bestFit="1" customWidth="1"/>
    <col min="15884" max="15884" width="47.85546875" bestFit="1" customWidth="1"/>
    <col min="16131" max="16131" width="16.7109375" bestFit="1" customWidth="1"/>
    <col min="16133" max="16134" width="0" hidden="1" customWidth="1"/>
    <col min="16136" max="16137" width="0" hidden="1" customWidth="1"/>
    <col min="16139" max="16139" width="9.85546875" bestFit="1" customWidth="1"/>
    <col min="16140" max="16140" width="47.85546875" bestFit="1" customWidth="1"/>
  </cols>
  <sheetData>
    <row r="1" spans="1:15" x14ac:dyDescent="0.25">
      <c r="A1" s="14"/>
      <c r="B1" s="15"/>
      <c r="C1" s="16"/>
      <c r="D1" s="326" t="s">
        <v>15</v>
      </c>
      <c r="E1" s="328" t="s">
        <v>15</v>
      </c>
      <c r="F1" s="17"/>
      <c r="G1" s="330" t="s">
        <v>16</v>
      </c>
      <c r="H1" s="330"/>
      <c r="I1" s="330"/>
      <c r="J1" s="331" t="s">
        <v>17</v>
      </c>
      <c r="K1" s="14"/>
      <c r="L1" s="16"/>
      <c r="M1" s="14"/>
      <c r="N1" s="15"/>
      <c r="O1" s="16"/>
    </row>
    <row r="2" spans="1:15" x14ac:dyDescent="0.25">
      <c r="A2" s="18"/>
      <c r="B2" s="19"/>
      <c r="C2" s="20"/>
      <c r="D2" s="327"/>
      <c r="E2" s="329"/>
      <c r="F2" s="21"/>
      <c r="G2" s="334" t="s">
        <v>18</v>
      </c>
      <c r="H2" s="334" t="s">
        <v>19</v>
      </c>
      <c r="I2" s="329" t="s">
        <v>20</v>
      </c>
      <c r="J2" s="332" t="s">
        <v>21</v>
      </c>
      <c r="K2" s="18"/>
      <c r="L2" s="20"/>
      <c r="M2" s="18"/>
      <c r="N2" s="19"/>
      <c r="O2" s="20"/>
    </row>
    <row r="3" spans="1:15" ht="15.75" thickBot="1" x14ac:dyDescent="0.3">
      <c r="A3" s="22"/>
      <c r="B3" s="23"/>
      <c r="C3" s="24"/>
      <c r="D3" s="327"/>
      <c r="E3" s="329"/>
      <c r="F3" s="21"/>
      <c r="G3" s="334"/>
      <c r="H3" s="334"/>
      <c r="I3" s="329"/>
      <c r="J3" s="332"/>
      <c r="K3" s="22"/>
      <c r="L3" s="24"/>
      <c r="M3" s="22"/>
      <c r="N3" s="23"/>
      <c r="O3" s="24"/>
    </row>
    <row r="4" spans="1:15" ht="15.75" thickBot="1" x14ac:dyDescent="0.3">
      <c r="A4" s="5" t="s">
        <v>12</v>
      </c>
      <c r="B4" s="6" t="s">
        <v>13</v>
      </c>
      <c r="C4" s="7" t="s">
        <v>14</v>
      </c>
      <c r="D4" s="25" t="s">
        <v>22</v>
      </c>
      <c r="E4" s="26" t="s">
        <v>23</v>
      </c>
      <c r="F4" s="27"/>
      <c r="G4" s="335"/>
      <c r="H4" s="335"/>
      <c r="I4" s="336"/>
      <c r="J4" s="333"/>
      <c r="K4" s="7" t="s">
        <v>24</v>
      </c>
      <c r="L4" s="261" t="s">
        <v>25</v>
      </c>
      <c r="M4" s="5" t="s">
        <v>12</v>
      </c>
      <c r="N4" s="28" t="s">
        <v>26</v>
      </c>
      <c r="O4" s="262" t="s">
        <v>25</v>
      </c>
    </row>
    <row r="5" spans="1:15" x14ac:dyDescent="0.25">
      <c r="A5" s="8">
        <v>42705</v>
      </c>
      <c r="B5" s="9">
        <v>100</v>
      </c>
      <c r="C5" s="10">
        <f>$B$17/B5</f>
        <v>1.2479559999999998</v>
      </c>
      <c r="D5" s="253">
        <v>7.6E-3</v>
      </c>
      <c r="E5" s="253"/>
      <c r="F5" s="254"/>
      <c r="G5" s="253">
        <v>6.0000000000000001E-3</v>
      </c>
      <c r="H5" s="253">
        <v>-2.0199999999999999E-2</v>
      </c>
      <c r="I5" s="253">
        <v>1.43E-2</v>
      </c>
      <c r="J5" s="253">
        <v>2.7E-2</v>
      </c>
      <c r="K5" s="255">
        <f>(D5+G5+J5)/3</f>
        <v>1.3533333333333333E-2</v>
      </c>
      <c r="L5" s="256" t="s">
        <v>27</v>
      </c>
      <c r="M5" s="8">
        <v>42705</v>
      </c>
      <c r="N5" s="30">
        <v>1.25</v>
      </c>
      <c r="O5" s="263" t="s">
        <v>28</v>
      </c>
    </row>
    <row r="6" spans="1:15" x14ac:dyDescent="0.25">
      <c r="A6" s="8">
        <v>42736</v>
      </c>
      <c r="B6" s="9">
        <v>101.5859</v>
      </c>
      <c r="C6" s="10">
        <f t="shared" ref="C6:C17" si="0">$B$17/B6</f>
        <v>1.2284736365972049</v>
      </c>
      <c r="D6" s="253">
        <v>1.4999999999999999E-2</v>
      </c>
      <c r="E6" s="253">
        <v>0.255</v>
      </c>
      <c r="F6" s="254"/>
      <c r="G6" s="253">
        <v>1.6E-2</v>
      </c>
      <c r="H6" s="253">
        <v>1.4E-2</v>
      </c>
      <c r="I6" s="253">
        <v>1.6E-2</v>
      </c>
      <c r="J6" s="253">
        <v>4.0000000000000001E-3</v>
      </c>
      <c r="K6" s="255">
        <f t="shared" ref="K6:K17" si="1">(D6+G6+J6)/3</f>
        <v>1.1666666666666667E-2</v>
      </c>
      <c r="L6" s="256" t="s">
        <v>27</v>
      </c>
      <c r="M6" s="8">
        <v>42736</v>
      </c>
      <c r="N6" s="30">
        <v>1.1299999999999999</v>
      </c>
      <c r="O6" s="263" t="s">
        <v>28</v>
      </c>
    </row>
    <row r="7" spans="1:15" x14ac:dyDescent="0.25">
      <c r="A7" s="8">
        <v>42767</v>
      </c>
      <c r="B7" s="9">
        <v>103.6859</v>
      </c>
      <c r="C7" s="10">
        <f t="shared" si="0"/>
        <v>1.2035927739451555</v>
      </c>
      <c r="D7" s="253">
        <v>1.67E-2</v>
      </c>
      <c r="E7" s="253">
        <v>0.216</v>
      </c>
      <c r="F7" s="254"/>
      <c r="G7" s="253">
        <v>1.7999999999999999E-2</v>
      </c>
      <c r="H7" s="253">
        <v>1.7000000000000001E-2</v>
      </c>
      <c r="I7" s="253">
        <v>1.84E-2</v>
      </c>
      <c r="J7" s="253">
        <v>-1E-3</v>
      </c>
      <c r="K7" s="255">
        <f t="shared" si="1"/>
        <v>1.1233333333333331E-2</v>
      </c>
      <c r="L7" s="256" t="s">
        <v>27</v>
      </c>
      <c r="M7" s="8">
        <v>42767</v>
      </c>
      <c r="N7" s="30">
        <v>1.1299999999999999</v>
      </c>
      <c r="O7" s="263" t="s">
        <v>28</v>
      </c>
    </row>
    <row r="8" spans="1:15" x14ac:dyDescent="0.25">
      <c r="A8" s="8">
        <v>42795</v>
      </c>
      <c r="B8" s="9">
        <v>106.1476</v>
      </c>
      <c r="C8" s="10">
        <f t="shared" si="0"/>
        <v>1.1756799023246876</v>
      </c>
      <c r="D8" s="253">
        <v>9.1999999999999998E-3</v>
      </c>
      <c r="E8" s="253">
        <v>0.19700000000000001</v>
      </c>
      <c r="F8" s="254"/>
      <c r="G8" s="253">
        <v>8.9999999999999993E-3</v>
      </c>
      <c r="H8" s="253">
        <v>-1E-3</v>
      </c>
      <c r="I8" s="253">
        <v>1.2999999999999999E-2</v>
      </c>
      <c r="J8" s="253">
        <v>6.0000000000000001E-3</v>
      </c>
      <c r="K8" s="255">
        <f t="shared" si="1"/>
        <v>8.0666666666666664E-3</v>
      </c>
      <c r="L8" s="256" t="s">
        <v>27</v>
      </c>
      <c r="M8" s="8">
        <v>42795</v>
      </c>
      <c r="N8" s="30">
        <v>1.1299999999999999</v>
      </c>
      <c r="O8" s="263" t="s">
        <v>28</v>
      </c>
    </row>
    <row r="9" spans="1:15" x14ac:dyDescent="0.25">
      <c r="A9" s="8">
        <v>42826</v>
      </c>
      <c r="B9" s="9">
        <v>108.9667</v>
      </c>
      <c r="C9" s="10">
        <f t="shared" si="0"/>
        <v>1.1452636447648685</v>
      </c>
      <c r="D9" s="253">
        <v>4.5999999999999999E-3</v>
      </c>
      <c r="E9" s="253">
        <v>0.185</v>
      </c>
      <c r="F9" s="254"/>
      <c r="G9" s="253">
        <v>6.0000000000000001E-3</v>
      </c>
      <c r="H9" s="253">
        <v>-4.0000000000000001E-3</v>
      </c>
      <c r="I9" s="253">
        <v>8.9999999999999993E-3</v>
      </c>
      <c r="J9" s="253">
        <v>-8.9999999999999993E-3</v>
      </c>
      <c r="K9" s="255">
        <f t="shared" si="1"/>
        <v>5.3333333333333358E-4</v>
      </c>
      <c r="L9" s="256" t="s">
        <v>27</v>
      </c>
      <c r="M9" s="8">
        <v>42826</v>
      </c>
      <c r="N9" s="30">
        <v>1.1000000000000001</v>
      </c>
      <c r="O9" s="263" t="s">
        <v>28</v>
      </c>
    </row>
    <row r="10" spans="1:15" x14ac:dyDescent="0.25">
      <c r="A10" s="8">
        <v>42856</v>
      </c>
      <c r="B10" s="9">
        <v>110.5301</v>
      </c>
      <c r="C10" s="10">
        <f t="shared" si="0"/>
        <v>1.129064390604912</v>
      </c>
      <c r="D10" s="253">
        <v>8.6E-3</v>
      </c>
      <c r="E10" s="253">
        <v>0.153</v>
      </c>
      <c r="F10" s="254"/>
      <c r="G10" s="253">
        <v>8.2000000000000007E-3</v>
      </c>
      <c r="H10" s="253">
        <v>3.0000000000000001E-3</v>
      </c>
      <c r="I10" s="253">
        <v>0.01</v>
      </c>
      <c r="J10" s="253">
        <v>1.0999999999999999E-2</v>
      </c>
      <c r="K10" s="255">
        <f t="shared" si="1"/>
        <v>9.2666666666666678E-3</v>
      </c>
      <c r="L10" s="256" t="s">
        <v>27</v>
      </c>
      <c r="M10" s="8">
        <v>42856</v>
      </c>
      <c r="N10" s="30">
        <v>1.1000000000000001</v>
      </c>
      <c r="O10" s="263" t="s">
        <v>28</v>
      </c>
    </row>
    <row r="11" spans="1:15" x14ac:dyDescent="0.25">
      <c r="A11" s="8">
        <v>42887</v>
      </c>
      <c r="B11" s="9">
        <v>111.8477</v>
      </c>
      <c r="C11" s="10">
        <f t="shared" si="0"/>
        <v>1.1157636679162826</v>
      </c>
      <c r="D11" s="253">
        <v>1.8700000000000001E-2</v>
      </c>
      <c r="E11" s="253">
        <v>0.14199999999999999</v>
      </c>
      <c r="F11" s="254"/>
      <c r="G11" s="253">
        <v>1.9199999999999998E-2</v>
      </c>
      <c r="H11" s="253">
        <v>3.5000000000000003E-2</v>
      </c>
      <c r="I11" s="253">
        <v>1.4999999999999999E-2</v>
      </c>
      <c r="J11" s="253">
        <v>8.9999999999999993E-3</v>
      </c>
      <c r="K11" s="255">
        <f t="shared" si="1"/>
        <v>1.5633333333333336E-2</v>
      </c>
      <c r="L11" s="256" t="s">
        <v>27</v>
      </c>
      <c r="M11" s="8">
        <v>42887</v>
      </c>
      <c r="N11" s="30">
        <v>1.1000000000000001</v>
      </c>
      <c r="O11" s="263" t="s">
        <v>28</v>
      </c>
    </row>
    <row r="12" spans="1:15" x14ac:dyDescent="0.25">
      <c r="A12" s="8">
        <v>42917</v>
      </c>
      <c r="B12" s="9">
        <v>113.7852</v>
      </c>
      <c r="C12" s="10">
        <f t="shared" si="0"/>
        <v>1.0967647813599659</v>
      </c>
      <c r="D12" s="253">
        <v>2.5499999999999998E-2</v>
      </c>
      <c r="E12" s="253">
        <v>0.13900000000000001</v>
      </c>
      <c r="F12" s="254"/>
      <c r="G12" s="253">
        <v>2.52E-2</v>
      </c>
      <c r="H12" s="253">
        <v>2.5000000000000001E-2</v>
      </c>
      <c r="I12" s="253">
        <v>2.4E-2</v>
      </c>
      <c r="J12" s="253">
        <v>3.7999999999999999E-2</v>
      </c>
      <c r="K12" s="255">
        <f t="shared" si="1"/>
        <v>2.9566666666666668E-2</v>
      </c>
      <c r="L12" s="256" t="s">
        <v>27</v>
      </c>
      <c r="M12" s="8">
        <v>42917</v>
      </c>
      <c r="N12" s="30">
        <v>1.04</v>
      </c>
      <c r="O12" s="263" t="s">
        <v>28</v>
      </c>
    </row>
    <row r="13" spans="1:15" x14ac:dyDescent="0.25">
      <c r="A13" s="8">
        <v>42948</v>
      </c>
      <c r="B13" s="9">
        <v>115.3819</v>
      </c>
      <c r="C13" s="10">
        <f t="shared" si="0"/>
        <v>1.0815873200215977</v>
      </c>
      <c r="D13" s="253">
        <v>1.9199999999999998E-2</v>
      </c>
      <c r="E13" s="253">
        <v>0.156</v>
      </c>
      <c r="F13" s="254"/>
      <c r="G13" s="253">
        <v>1.9E-2</v>
      </c>
      <c r="H13" s="253">
        <v>3.2000000000000001E-2</v>
      </c>
      <c r="I13" s="253">
        <v>1.4999999999999999E-2</v>
      </c>
      <c r="J13" s="253">
        <v>1.7000000000000001E-2</v>
      </c>
      <c r="K13" s="255">
        <f t="shared" si="1"/>
        <v>1.84E-2</v>
      </c>
      <c r="L13" s="256" t="s">
        <v>27</v>
      </c>
      <c r="M13" s="8">
        <v>42948</v>
      </c>
      <c r="N13" s="30">
        <v>1.04</v>
      </c>
      <c r="O13" s="263" t="s">
        <v>28</v>
      </c>
    </row>
    <row r="14" spans="1:15" x14ac:dyDescent="0.25">
      <c r="A14" s="8">
        <v>42979</v>
      </c>
      <c r="B14" s="9">
        <v>117.5719</v>
      </c>
      <c r="C14" s="10">
        <f t="shared" si="0"/>
        <v>1.0614407013920844</v>
      </c>
      <c r="D14" s="253">
        <v>0.01</v>
      </c>
      <c r="E14" s="253">
        <v>0.16300000000000001</v>
      </c>
      <c r="F14" s="254"/>
      <c r="G14" s="253">
        <v>0.01</v>
      </c>
      <c r="H14" s="253">
        <v>5.0000000000000001E-3</v>
      </c>
      <c r="I14" s="253">
        <v>1.2E-2</v>
      </c>
      <c r="J14" s="253">
        <v>4.0000000000000001E-3</v>
      </c>
      <c r="K14" s="255">
        <f t="shared" si="1"/>
        <v>8.0000000000000002E-3</v>
      </c>
      <c r="L14" s="256" t="s">
        <v>27</v>
      </c>
      <c r="M14" s="8">
        <v>42979</v>
      </c>
      <c r="N14" s="30">
        <v>1.04</v>
      </c>
      <c r="O14" s="263" t="s">
        <v>28</v>
      </c>
    </row>
    <row r="15" spans="1:15" x14ac:dyDescent="0.25">
      <c r="A15" s="8">
        <v>43009</v>
      </c>
      <c r="B15" s="9">
        <v>119.3528</v>
      </c>
      <c r="C15" s="10">
        <f t="shared" si="0"/>
        <v>1.0456026167798325</v>
      </c>
      <c r="D15" s="253">
        <v>1.47E-2</v>
      </c>
      <c r="E15" s="253">
        <v>0.17299999999999999</v>
      </c>
      <c r="F15" s="254"/>
      <c r="G15" s="253">
        <v>1.4999999999999999E-2</v>
      </c>
      <c r="H15" s="253">
        <v>1.2999999999999999E-2</v>
      </c>
      <c r="I15" s="253">
        <v>1.4999999999999999E-2</v>
      </c>
      <c r="J15" s="253">
        <v>1.4E-2</v>
      </c>
      <c r="K15" s="255">
        <f t="shared" si="1"/>
        <v>1.4566666666666665E-2</v>
      </c>
      <c r="L15" s="256" t="s">
        <v>27</v>
      </c>
      <c r="M15" s="8">
        <v>43009</v>
      </c>
      <c r="N15" s="30">
        <v>1</v>
      </c>
      <c r="O15" s="263" t="s">
        <v>28</v>
      </c>
    </row>
    <row r="16" spans="1:15" x14ac:dyDescent="0.25">
      <c r="A16" s="8">
        <v>43040</v>
      </c>
      <c r="B16" s="9">
        <v>120.994</v>
      </c>
      <c r="C16" s="10">
        <f t="shared" si="0"/>
        <v>1.0314197398218092</v>
      </c>
      <c r="D16" s="253">
        <v>1.54E-2</v>
      </c>
      <c r="E16" s="253">
        <v>0.17699999999999999</v>
      </c>
      <c r="F16" s="254"/>
      <c r="G16" s="253">
        <v>1.4999999999999999E-2</v>
      </c>
      <c r="H16" s="253">
        <v>1.0999999999999999E-2</v>
      </c>
      <c r="I16" s="253">
        <v>1.6E-2</v>
      </c>
      <c r="J16" s="253">
        <v>0.02</v>
      </c>
      <c r="K16" s="255">
        <f t="shared" si="1"/>
        <v>1.6799999999999999E-2</v>
      </c>
      <c r="L16" s="256" t="s">
        <v>27</v>
      </c>
      <c r="M16" s="8">
        <v>43040</v>
      </c>
      <c r="N16" s="30">
        <v>1</v>
      </c>
      <c r="O16" s="263" t="s">
        <v>28</v>
      </c>
    </row>
    <row r="17" spans="1:15" ht="15.75" thickBot="1" x14ac:dyDescent="0.3">
      <c r="A17" s="11">
        <v>43070</v>
      </c>
      <c r="B17" s="12">
        <v>124.79559999999999</v>
      </c>
      <c r="C17" s="13">
        <f t="shared" si="0"/>
        <v>1</v>
      </c>
      <c r="D17" s="257">
        <v>1.6E-2</v>
      </c>
      <c r="E17" s="257">
        <v>0.188</v>
      </c>
      <c r="F17" s="258"/>
      <c r="G17" s="257">
        <v>1.7000000000000001E-2</v>
      </c>
      <c r="H17" s="257">
        <v>7.0000000000000001E-3</v>
      </c>
      <c r="I17" s="257">
        <v>2.1000000000000001E-2</v>
      </c>
      <c r="J17" s="257">
        <v>6.0000000000000001E-3</v>
      </c>
      <c r="K17" s="259">
        <f t="shared" si="1"/>
        <v>1.2999999999999999E-2</v>
      </c>
      <c r="L17" s="260" t="s">
        <v>27</v>
      </c>
      <c r="M17" s="11">
        <v>43070</v>
      </c>
      <c r="N17" s="31">
        <v>1</v>
      </c>
      <c r="O17" s="264" t="s">
        <v>28</v>
      </c>
    </row>
    <row r="18" spans="1:15" s="34" customFormat="1" x14ac:dyDescent="0.25">
      <c r="A18" s="32"/>
      <c r="B18" s="33"/>
      <c r="D18" s="35"/>
      <c r="E18" s="35"/>
      <c r="F18" s="29"/>
      <c r="G18" s="35"/>
      <c r="H18" s="35"/>
      <c r="I18" s="35"/>
      <c r="J18" s="35"/>
    </row>
    <row r="19" spans="1:15" ht="15.75" thickBot="1" x14ac:dyDescent="0.3">
      <c r="C19" s="34" t="s">
        <v>190</v>
      </c>
      <c r="D19" s="35" t="s">
        <v>388</v>
      </c>
      <c r="E19" s="35"/>
      <c r="F19" s="29"/>
      <c r="G19" s="35"/>
      <c r="H19" s="35"/>
      <c r="I19" s="35"/>
      <c r="J19" s="35"/>
      <c r="K19" s="34"/>
      <c r="L19" s="34"/>
    </row>
    <row r="20" spans="1:15" ht="15.75" thickBot="1" x14ac:dyDescent="0.3">
      <c r="A20" s="5" t="s">
        <v>12</v>
      </c>
      <c r="B20" s="6" t="s">
        <v>13</v>
      </c>
      <c r="C20" s="72" t="s">
        <v>14</v>
      </c>
      <c r="D20" s="72" t="s">
        <v>14</v>
      </c>
      <c r="E20" s="35"/>
      <c r="F20" s="29"/>
      <c r="G20" s="35"/>
      <c r="H20" s="35"/>
      <c r="I20" s="35"/>
      <c r="J20" s="35"/>
      <c r="K20" s="34"/>
      <c r="L20" s="34"/>
    </row>
    <row r="21" spans="1:15" x14ac:dyDescent="0.25">
      <c r="A21" s="8">
        <v>42705</v>
      </c>
      <c r="B21" s="9">
        <v>100</v>
      </c>
      <c r="C21" s="73">
        <f>$B$17/B21</f>
        <v>1.2479559999999998</v>
      </c>
      <c r="D21" s="292">
        <v>1.25</v>
      </c>
      <c r="E21" s="35"/>
      <c r="F21" s="29"/>
      <c r="G21" s="35"/>
      <c r="H21" s="35"/>
      <c r="I21" s="35"/>
      <c r="J21" s="35"/>
      <c r="K21" s="34"/>
      <c r="L21" s="34"/>
    </row>
    <row r="22" spans="1:15" x14ac:dyDescent="0.25">
      <c r="A22" s="8">
        <v>42736</v>
      </c>
      <c r="B22" s="9">
        <v>101.5859</v>
      </c>
      <c r="C22" s="73">
        <f t="shared" ref="C22:C33" si="2">$B$17/B22</f>
        <v>1.2284736365972049</v>
      </c>
      <c r="D22" s="292">
        <v>1.23</v>
      </c>
      <c r="E22" s="35"/>
      <c r="F22" s="29"/>
      <c r="G22" s="35"/>
      <c r="H22" s="35"/>
      <c r="I22" s="35"/>
      <c r="J22" s="35"/>
      <c r="K22" s="34"/>
      <c r="L22" s="34"/>
    </row>
    <row r="23" spans="1:15" x14ac:dyDescent="0.25">
      <c r="A23" s="8">
        <v>42767</v>
      </c>
      <c r="B23" s="9">
        <v>103.6859</v>
      </c>
      <c r="C23" s="73">
        <f t="shared" si="2"/>
        <v>1.2035927739451555</v>
      </c>
      <c r="D23" s="292">
        <v>1.2</v>
      </c>
      <c r="E23" s="35"/>
      <c r="F23" s="29"/>
      <c r="G23" s="35"/>
      <c r="H23" s="35"/>
      <c r="I23" s="35"/>
      <c r="J23" s="35"/>
      <c r="K23" s="34"/>
      <c r="L23" s="34"/>
    </row>
    <row r="24" spans="1:15" x14ac:dyDescent="0.25">
      <c r="A24" s="8">
        <v>42795</v>
      </c>
      <c r="B24" s="9">
        <v>106.1476</v>
      </c>
      <c r="C24" s="73">
        <f t="shared" si="2"/>
        <v>1.1756799023246876</v>
      </c>
      <c r="D24" s="292">
        <v>1.18</v>
      </c>
      <c r="E24" s="34"/>
      <c r="F24" s="34"/>
      <c r="G24" s="34"/>
      <c r="H24" s="34"/>
      <c r="I24" s="34"/>
      <c r="J24" s="34"/>
      <c r="K24" s="34"/>
      <c r="L24" s="34"/>
    </row>
    <row r="25" spans="1:15" x14ac:dyDescent="0.25">
      <c r="A25" s="8">
        <v>42826</v>
      </c>
      <c r="B25" s="9">
        <v>108.9667</v>
      </c>
      <c r="C25" s="73">
        <f t="shared" si="2"/>
        <v>1.1452636447648685</v>
      </c>
      <c r="D25" s="292">
        <v>1.1499999999999999</v>
      </c>
      <c r="E25" s="34"/>
      <c r="F25" s="34"/>
      <c r="G25" s="34"/>
      <c r="H25" s="34"/>
      <c r="I25" s="34"/>
      <c r="J25" s="34"/>
      <c r="K25" s="34"/>
      <c r="L25" s="34"/>
    </row>
    <row r="26" spans="1:15" x14ac:dyDescent="0.25">
      <c r="A26" s="8">
        <v>42856</v>
      </c>
      <c r="B26" s="9">
        <v>110.5301</v>
      </c>
      <c r="C26" s="73">
        <f t="shared" si="2"/>
        <v>1.129064390604912</v>
      </c>
      <c r="D26" s="292">
        <v>1.1299999999999999</v>
      </c>
      <c r="E26" s="34"/>
      <c r="F26" s="34"/>
      <c r="G26" s="34"/>
      <c r="H26" s="34"/>
      <c r="I26" s="34"/>
      <c r="J26" s="34"/>
      <c r="K26" s="34"/>
      <c r="L26" s="34"/>
    </row>
    <row r="27" spans="1:15" x14ac:dyDescent="0.25">
      <c r="A27" s="8">
        <v>42887</v>
      </c>
      <c r="B27" s="9">
        <v>111.8477</v>
      </c>
      <c r="C27" s="73">
        <f t="shared" si="2"/>
        <v>1.1157636679162826</v>
      </c>
      <c r="D27" s="292">
        <v>1.1200000000000001</v>
      </c>
    </row>
    <row r="28" spans="1:15" x14ac:dyDescent="0.25">
      <c r="A28" s="8">
        <v>42917</v>
      </c>
      <c r="B28" s="9">
        <v>113.7852</v>
      </c>
      <c r="C28" s="73">
        <f t="shared" si="2"/>
        <v>1.0967647813599659</v>
      </c>
      <c r="D28" s="292">
        <v>1.1000000000000001</v>
      </c>
    </row>
    <row r="29" spans="1:15" x14ac:dyDescent="0.25">
      <c r="A29" s="8">
        <v>42948</v>
      </c>
      <c r="B29" s="9">
        <v>115.3819</v>
      </c>
      <c r="C29" s="73">
        <f t="shared" si="2"/>
        <v>1.0815873200215977</v>
      </c>
      <c r="D29" s="292">
        <v>1.08</v>
      </c>
    </row>
    <row r="30" spans="1:15" x14ac:dyDescent="0.25">
      <c r="A30" s="8">
        <v>42979</v>
      </c>
      <c r="B30" s="9">
        <v>117.5719</v>
      </c>
      <c r="C30" s="73">
        <f t="shared" si="2"/>
        <v>1.0614407013920844</v>
      </c>
      <c r="D30" s="292">
        <v>1.06</v>
      </c>
    </row>
    <row r="31" spans="1:15" x14ac:dyDescent="0.25">
      <c r="A31" s="8">
        <v>43009</v>
      </c>
      <c r="B31" s="9">
        <v>119.3528</v>
      </c>
      <c r="C31" s="73">
        <f t="shared" si="2"/>
        <v>1.0456026167798325</v>
      </c>
      <c r="D31" s="292">
        <v>1.05</v>
      </c>
    </row>
    <row r="32" spans="1:15" x14ac:dyDescent="0.25">
      <c r="A32" s="8">
        <v>43040</v>
      </c>
      <c r="B32" s="9">
        <v>120.994</v>
      </c>
      <c r="C32" s="73">
        <f t="shared" si="2"/>
        <v>1.0314197398218092</v>
      </c>
      <c r="D32" s="292">
        <v>1.03</v>
      </c>
    </row>
    <row r="33" spans="1:4" ht="15.75" thickBot="1" x14ac:dyDescent="0.3">
      <c r="A33" s="11">
        <v>43070</v>
      </c>
      <c r="B33" s="12">
        <v>124.79559999999999</v>
      </c>
      <c r="C33" s="74">
        <f t="shared" si="2"/>
        <v>1</v>
      </c>
      <c r="D33" s="74">
        <v>1</v>
      </c>
    </row>
  </sheetData>
  <sheetProtection sheet="1" objects="1" scenarios="1"/>
  <mergeCells count="7">
    <mergeCell ref="D1:D3"/>
    <mergeCell ref="E1:E3"/>
    <mergeCell ref="G1:I1"/>
    <mergeCell ref="J1:J4"/>
    <mergeCell ref="G2:G4"/>
    <mergeCell ref="H2:H4"/>
    <mergeCell ref="I2:I4"/>
  </mergeCells>
  <hyperlinks>
    <hyperlink ref="L5" r:id="rId1"/>
    <hyperlink ref="L6:L17" r:id="rId2" display="www.economia.gob.ar/download/infoeco/apendice4.xlsx"/>
  </hyperlinks>
  <pageMargins left="0.70866141732283472" right="0.70866141732283472" top="0.74803149606299213" bottom="0.74803149606299213" header="0.31496062992125984" footer="0.31496062992125984"/>
  <pageSetup paperSize="9" scale="78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61"/>
  <sheetViews>
    <sheetView workbookViewId="0"/>
  </sheetViews>
  <sheetFormatPr baseColWidth="10" defaultRowHeight="15" x14ac:dyDescent="0.25"/>
  <cols>
    <col min="4" max="4" width="11.7109375" bestFit="1" customWidth="1"/>
    <col min="5" max="5" width="11.42578125" style="3"/>
  </cols>
  <sheetData>
    <row r="2" spans="1:7" x14ac:dyDescent="0.25">
      <c r="A2" s="45" t="s">
        <v>271</v>
      </c>
    </row>
    <row r="4" spans="1:7" x14ac:dyDescent="0.25">
      <c r="A4" s="130" t="s">
        <v>275</v>
      </c>
      <c r="G4" s="3"/>
    </row>
    <row r="5" spans="1:7" x14ac:dyDescent="0.25">
      <c r="A5" s="122">
        <v>42705</v>
      </c>
      <c r="B5" t="s">
        <v>273</v>
      </c>
      <c r="E5" s="3">
        <f>+'2-REGISTRACIONES'!B139</f>
        <v>246376</v>
      </c>
      <c r="F5" s="76">
        <f>+'1-COEF REALES'!D21-1</f>
        <v>0.25</v>
      </c>
      <c r="G5" s="3">
        <f>-E5*F5</f>
        <v>-61594</v>
      </c>
    </row>
    <row r="6" spans="1:7" x14ac:dyDescent="0.25">
      <c r="A6" s="130" t="s">
        <v>269</v>
      </c>
      <c r="F6" s="4"/>
      <c r="G6" s="3"/>
    </row>
    <row r="7" spans="1:7" x14ac:dyDescent="0.25">
      <c r="B7" t="s">
        <v>274</v>
      </c>
      <c r="E7" s="3">
        <v>0</v>
      </c>
      <c r="F7" s="4"/>
      <c r="G7" s="3">
        <f>-E7*F7</f>
        <v>0</v>
      </c>
    </row>
    <row r="8" spans="1:7" x14ac:dyDescent="0.25">
      <c r="F8" s="4"/>
      <c r="G8" s="3"/>
    </row>
    <row r="9" spans="1:7" x14ac:dyDescent="0.25">
      <c r="A9" t="s">
        <v>279</v>
      </c>
      <c r="F9" s="76"/>
      <c r="G9" s="83">
        <f>+G5+G7</f>
        <v>-61594</v>
      </c>
    </row>
    <row r="10" spans="1:7" x14ac:dyDescent="0.25">
      <c r="G10" s="3"/>
    </row>
    <row r="11" spans="1:7" x14ac:dyDescent="0.25">
      <c r="A11" s="45" t="s">
        <v>270</v>
      </c>
      <c r="B11" s="45"/>
      <c r="C11" s="45"/>
      <c r="D11" s="45"/>
      <c r="G11" s="61">
        <f>+G9</f>
        <v>-61594</v>
      </c>
    </row>
    <row r="12" spans="1:7" x14ac:dyDescent="0.25">
      <c r="A12" s="131"/>
      <c r="B12" s="131"/>
      <c r="C12" s="131"/>
      <c r="D12" s="131"/>
      <c r="E12" s="67"/>
      <c r="F12" s="131"/>
      <c r="G12" s="131"/>
    </row>
    <row r="14" spans="1:7" x14ac:dyDescent="0.25">
      <c r="A14" s="45" t="s">
        <v>272</v>
      </c>
    </row>
    <row r="16" spans="1:7" x14ac:dyDescent="0.25">
      <c r="A16" s="130" t="s">
        <v>275</v>
      </c>
    </row>
    <row r="17" spans="1:7" x14ac:dyDescent="0.25">
      <c r="A17" s="122">
        <v>42736</v>
      </c>
      <c r="B17" t="s">
        <v>276</v>
      </c>
      <c r="D17" s="3"/>
      <c r="E17" s="81">
        <f>+'5-BALANCES Y CALCULOS'!G319</f>
        <v>-6619.29</v>
      </c>
      <c r="F17" s="81">
        <f>+'5-BALANCES Y CALCULOS'!H319</f>
        <v>0.22999999999999998</v>
      </c>
      <c r="G17" s="81">
        <f t="shared" ref="G17:G28" si="0">-E17*F17</f>
        <v>1522.4367</v>
      </c>
    </row>
    <row r="18" spans="1:7" x14ac:dyDescent="0.25">
      <c r="A18" s="122">
        <v>42767</v>
      </c>
      <c r="B18" t="s">
        <v>276</v>
      </c>
      <c r="D18" s="3"/>
      <c r="E18" s="81">
        <f>+'5-BALANCES Y CALCULOS'!G320</f>
        <v>5159.8799999999846</v>
      </c>
      <c r="F18" s="81">
        <f>+'5-BALANCES Y CALCULOS'!H320</f>
        <v>0.19999999999999996</v>
      </c>
      <c r="G18" s="81">
        <f t="shared" si="0"/>
        <v>-1031.9759999999967</v>
      </c>
    </row>
    <row r="19" spans="1:7" x14ac:dyDescent="0.25">
      <c r="A19" s="122">
        <v>42795</v>
      </c>
      <c r="B19" t="s">
        <v>276</v>
      </c>
      <c r="D19" s="3"/>
      <c r="E19" s="81">
        <f>+'5-BALANCES Y CALCULOS'!G321</f>
        <v>-3648.5800000000049</v>
      </c>
      <c r="F19" s="81">
        <f>+'5-BALANCES Y CALCULOS'!H321</f>
        <v>0.17999999999999994</v>
      </c>
      <c r="G19" s="81">
        <f t="shared" si="0"/>
        <v>656.74440000000061</v>
      </c>
    </row>
    <row r="20" spans="1:7" x14ac:dyDescent="0.25">
      <c r="A20" s="122">
        <v>42826</v>
      </c>
      <c r="B20" t="s">
        <v>276</v>
      </c>
      <c r="D20" s="3"/>
      <c r="E20" s="81">
        <f>+'5-BALANCES Y CALCULOS'!G322</f>
        <v>21355.079999999991</v>
      </c>
      <c r="F20" s="81">
        <f>+'5-BALANCES Y CALCULOS'!H322</f>
        <v>0.14999999999999991</v>
      </c>
      <c r="G20" s="81">
        <f t="shared" si="0"/>
        <v>-3203.2619999999965</v>
      </c>
    </row>
    <row r="21" spans="1:7" x14ac:dyDescent="0.25">
      <c r="A21" s="122">
        <v>42856</v>
      </c>
      <c r="B21" t="s">
        <v>276</v>
      </c>
      <c r="D21" s="3"/>
      <c r="E21" s="81">
        <f>+'5-BALANCES Y CALCULOS'!G323</f>
        <v>50719.06</v>
      </c>
      <c r="F21" s="81">
        <f>+'5-BALANCES Y CALCULOS'!H323</f>
        <v>0.12999999999999989</v>
      </c>
      <c r="G21" s="81">
        <f t="shared" si="0"/>
        <v>-6593.4777999999942</v>
      </c>
    </row>
    <row r="22" spans="1:7" x14ac:dyDescent="0.25">
      <c r="A22" s="122">
        <v>42887</v>
      </c>
      <c r="B22" t="s">
        <v>276</v>
      </c>
      <c r="D22" s="3"/>
      <c r="E22" s="81">
        <f>+'5-BALANCES Y CALCULOS'!G324</f>
        <v>8557.9500000000025</v>
      </c>
      <c r="F22" s="81">
        <f>+'5-BALANCES Y CALCULOS'!H324</f>
        <v>0.12000000000000011</v>
      </c>
      <c r="G22" s="81">
        <f t="shared" si="0"/>
        <v>-1026.9540000000013</v>
      </c>
    </row>
    <row r="23" spans="1:7" x14ac:dyDescent="0.25">
      <c r="A23" s="122">
        <v>42917</v>
      </c>
      <c r="B23" t="s">
        <v>276</v>
      </c>
      <c r="D23" s="3"/>
      <c r="E23" s="81">
        <f>+'5-BALANCES Y CALCULOS'!G325</f>
        <v>56782.169999999984</v>
      </c>
      <c r="F23" s="81">
        <f>+'5-BALANCES Y CALCULOS'!H325</f>
        <v>0.10000000000000009</v>
      </c>
      <c r="G23" s="81">
        <f t="shared" si="0"/>
        <v>-5678.2170000000033</v>
      </c>
    </row>
    <row r="24" spans="1:7" x14ac:dyDescent="0.25">
      <c r="A24" s="122">
        <v>42948</v>
      </c>
      <c r="B24" t="s">
        <v>276</v>
      </c>
      <c r="D24" s="3"/>
      <c r="E24" s="81">
        <f>+'5-BALANCES Y CALCULOS'!G326</f>
        <v>49707.140000000007</v>
      </c>
      <c r="F24" s="81">
        <f>+'5-BALANCES Y CALCULOS'!H326</f>
        <v>8.0000000000000071E-2</v>
      </c>
      <c r="G24" s="81">
        <f t="shared" si="0"/>
        <v>-3976.571200000004</v>
      </c>
    </row>
    <row r="25" spans="1:7" x14ac:dyDescent="0.25">
      <c r="A25" s="122">
        <v>42979</v>
      </c>
      <c r="B25" t="s">
        <v>276</v>
      </c>
      <c r="D25" s="3"/>
      <c r="E25" s="81">
        <f>+'5-BALANCES Y CALCULOS'!G327</f>
        <v>40620.880000000005</v>
      </c>
      <c r="F25" s="81">
        <f>+'5-BALANCES Y CALCULOS'!H327</f>
        <v>6.0000000000000053E-2</v>
      </c>
      <c r="G25" s="81">
        <f t="shared" si="0"/>
        <v>-2437.2528000000025</v>
      </c>
    </row>
    <row r="26" spans="1:7" x14ac:dyDescent="0.25">
      <c r="A26" s="122">
        <v>43009</v>
      </c>
      <c r="B26" t="s">
        <v>276</v>
      </c>
      <c r="D26" s="3"/>
      <c r="E26" s="81">
        <f>+'5-BALANCES Y CALCULOS'!G328</f>
        <v>46060.950000000012</v>
      </c>
      <c r="F26" s="81">
        <f>+'5-BALANCES Y CALCULOS'!H328</f>
        <v>5.0000000000000044E-2</v>
      </c>
      <c r="G26" s="81">
        <f t="shared" si="0"/>
        <v>-2303.0475000000024</v>
      </c>
    </row>
    <row r="27" spans="1:7" x14ac:dyDescent="0.25">
      <c r="A27" s="122">
        <v>43040</v>
      </c>
      <c r="B27" t="s">
        <v>276</v>
      </c>
      <c r="D27" s="3"/>
      <c r="E27" s="81">
        <f>+'5-BALANCES Y CALCULOS'!G329</f>
        <v>-228056.23</v>
      </c>
      <c r="F27" s="81">
        <f>+'5-BALANCES Y CALCULOS'!H329</f>
        <v>3.0000000000000027E-2</v>
      </c>
      <c r="G27" s="81">
        <f t="shared" si="0"/>
        <v>6841.6869000000061</v>
      </c>
    </row>
    <row r="28" spans="1:7" x14ac:dyDescent="0.25">
      <c r="A28" s="122">
        <v>43040</v>
      </c>
      <c r="B28" t="s">
        <v>278</v>
      </c>
      <c r="E28" s="81">
        <f>+'5-BALANCES Y CALCULOS'!G349</f>
        <v>45036.81</v>
      </c>
      <c r="F28" s="81">
        <f>+F27</f>
        <v>3.0000000000000027E-2</v>
      </c>
      <c r="G28" s="81">
        <f t="shared" si="0"/>
        <v>-1351.1043000000011</v>
      </c>
    </row>
    <row r="29" spans="1:7" x14ac:dyDescent="0.25">
      <c r="E29" s="76"/>
      <c r="F29" s="4"/>
      <c r="G29" s="4"/>
    </row>
    <row r="30" spans="1:7" x14ac:dyDescent="0.25">
      <c r="A30" s="130" t="s">
        <v>269</v>
      </c>
      <c r="E30" s="76"/>
      <c r="F30" s="4"/>
      <c r="G30" s="4"/>
    </row>
    <row r="31" spans="1:7" x14ac:dyDescent="0.25">
      <c r="A31" s="122">
        <v>42736</v>
      </c>
      <c r="B31" s="132" t="s">
        <v>277</v>
      </c>
      <c r="E31" s="81">
        <f>+'5-BALANCES Y CALCULOS'!G334</f>
        <v>-4253.1299999999983</v>
      </c>
      <c r="F31" s="81">
        <f>+F17</f>
        <v>0.22999999999999998</v>
      </c>
      <c r="G31" s="81">
        <f>-E31*F31</f>
        <v>978.21989999999948</v>
      </c>
    </row>
    <row r="32" spans="1:7" x14ac:dyDescent="0.25">
      <c r="A32" s="122">
        <v>42767</v>
      </c>
      <c r="B32" s="132" t="s">
        <v>277</v>
      </c>
      <c r="E32" s="81">
        <f>+'5-BALANCES Y CALCULOS'!G335</f>
        <v>-6182.82</v>
      </c>
      <c r="F32" s="81">
        <f t="shared" ref="F32:F41" si="1">+F18</f>
        <v>0.19999999999999996</v>
      </c>
      <c r="G32" s="81">
        <f t="shared" ref="G32:G41" si="2">-E32*F32</f>
        <v>1236.5639999999996</v>
      </c>
    </row>
    <row r="33" spans="1:8" x14ac:dyDescent="0.25">
      <c r="A33" s="122">
        <v>42795</v>
      </c>
      <c r="B33" s="132" t="s">
        <v>277</v>
      </c>
      <c r="E33" s="81">
        <f>+'5-BALANCES Y CALCULOS'!G336</f>
        <v>-4656.33</v>
      </c>
      <c r="F33" s="81">
        <f t="shared" si="1"/>
        <v>0.17999999999999994</v>
      </c>
      <c r="G33" s="81">
        <f t="shared" si="2"/>
        <v>838.13939999999968</v>
      </c>
    </row>
    <row r="34" spans="1:8" x14ac:dyDescent="0.25">
      <c r="A34" s="122">
        <v>42826</v>
      </c>
      <c r="B34" s="132" t="s">
        <v>277</v>
      </c>
      <c r="E34" s="81">
        <f>+'5-BALANCES Y CALCULOS'!G337</f>
        <v>-9211.0199999999986</v>
      </c>
      <c r="F34" s="81">
        <f t="shared" si="1"/>
        <v>0.14999999999999991</v>
      </c>
      <c r="G34" s="81">
        <f t="shared" si="2"/>
        <v>1381.6529999999989</v>
      </c>
    </row>
    <row r="35" spans="1:8" x14ac:dyDescent="0.25">
      <c r="A35" s="122">
        <v>42856</v>
      </c>
      <c r="B35" s="132" t="s">
        <v>277</v>
      </c>
      <c r="E35" s="81">
        <f>+'5-BALANCES Y CALCULOS'!G338</f>
        <v>-14235.060000000001</v>
      </c>
      <c r="F35" s="81">
        <f t="shared" si="1"/>
        <v>0.12999999999999989</v>
      </c>
      <c r="G35" s="81">
        <f t="shared" si="2"/>
        <v>1850.5577999999987</v>
      </c>
    </row>
    <row r="36" spans="1:8" x14ac:dyDescent="0.25">
      <c r="A36" s="122">
        <v>42887</v>
      </c>
      <c r="B36" s="132" t="s">
        <v>277</v>
      </c>
      <c r="E36" s="81">
        <f>+'5-BALANCES Y CALCULOS'!G339</f>
        <v>-9102.8700000000026</v>
      </c>
      <c r="F36" s="81">
        <f t="shared" si="1"/>
        <v>0.12000000000000011</v>
      </c>
      <c r="G36" s="81">
        <f t="shared" si="2"/>
        <v>1092.3444000000013</v>
      </c>
    </row>
    <row r="37" spans="1:8" x14ac:dyDescent="0.25">
      <c r="A37" s="122">
        <v>42917</v>
      </c>
      <c r="B37" s="132" t="s">
        <v>277</v>
      </c>
      <c r="E37" s="81">
        <f>+'5-BALANCES Y CALCULOS'!G340</f>
        <v>-15550.289999999997</v>
      </c>
      <c r="F37" s="81">
        <f t="shared" si="1"/>
        <v>0.10000000000000009</v>
      </c>
      <c r="G37" s="81">
        <f t="shared" si="2"/>
        <v>1555.0290000000011</v>
      </c>
    </row>
    <row r="38" spans="1:8" x14ac:dyDescent="0.25">
      <c r="A38" s="122">
        <v>42948</v>
      </c>
      <c r="B38" s="132" t="s">
        <v>277</v>
      </c>
      <c r="E38" s="81">
        <f>+'5-BALANCES Y CALCULOS'!G341</f>
        <v>-15017.939999999997</v>
      </c>
      <c r="F38" s="81">
        <f t="shared" si="1"/>
        <v>8.0000000000000071E-2</v>
      </c>
      <c r="G38" s="81">
        <f t="shared" si="2"/>
        <v>1201.4352000000008</v>
      </c>
    </row>
    <row r="39" spans="1:8" x14ac:dyDescent="0.25">
      <c r="A39" s="122">
        <v>42979</v>
      </c>
      <c r="B39" s="132" t="s">
        <v>277</v>
      </c>
      <c r="E39" s="81">
        <f>+'5-BALANCES Y CALCULOS'!G342</f>
        <v>-13478.219999999998</v>
      </c>
      <c r="F39" s="81">
        <f t="shared" si="1"/>
        <v>6.0000000000000053E-2</v>
      </c>
      <c r="G39" s="81">
        <f t="shared" si="2"/>
        <v>808.69320000000062</v>
      </c>
    </row>
    <row r="40" spans="1:8" x14ac:dyDescent="0.25">
      <c r="A40" s="122">
        <v>43009</v>
      </c>
      <c r="B40" s="132" t="s">
        <v>277</v>
      </c>
      <c r="E40" s="81">
        <f>+'5-BALANCES Y CALCULOS'!G343</f>
        <v>-14463.329999999996</v>
      </c>
      <c r="F40" s="81">
        <f t="shared" si="1"/>
        <v>5.0000000000000044E-2</v>
      </c>
      <c r="G40" s="81">
        <f t="shared" si="2"/>
        <v>723.1665000000005</v>
      </c>
    </row>
    <row r="41" spans="1:8" x14ac:dyDescent="0.25">
      <c r="A41" s="122">
        <v>43040</v>
      </c>
      <c r="B41" s="132" t="s">
        <v>277</v>
      </c>
      <c r="E41" s="81">
        <f>+'5-BALANCES Y CALCULOS'!G344</f>
        <v>-13327.859999999999</v>
      </c>
      <c r="F41" s="81">
        <f t="shared" si="1"/>
        <v>3.0000000000000027E-2</v>
      </c>
      <c r="G41" s="81">
        <f t="shared" si="2"/>
        <v>399.83580000000029</v>
      </c>
    </row>
    <row r="42" spans="1:8" x14ac:dyDescent="0.25">
      <c r="E42" s="81"/>
    </row>
    <row r="43" spans="1:8" x14ac:dyDescent="0.25">
      <c r="A43" t="s">
        <v>280</v>
      </c>
      <c r="G43" s="3">
        <f>SUM(G17:G41)</f>
        <v>-6515.3563999999933</v>
      </c>
      <c r="H43" s="3"/>
    </row>
    <row r="45" spans="1:8" x14ac:dyDescent="0.25">
      <c r="A45" s="45" t="s">
        <v>270</v>
      </c>
      <c r="B45" s="45"/>
      <c r="C45" s="45"/>
      <c r="D45" s="45"/>
      <c r="G45" s="61">
        <f>+G43</f>
        <v>-6515.3563999999933</v>
      </c>
    </row>
    <row r="46" spans="1:8" x14ac:dyDescent="0.25">
      <c r="A46" s="131"/>
      <c r="B46" s="131"/>
      <c r="C46" s="131"/>
      <c r="D46" s="131"/>
      <c r="E46" s="67"/>
      <c r="F46" s="131"/>
      <c r="G46" s="131"/>
    </row>
    <row r="47" spans="1:8" x14ac:dyDescent="0.25">
      <c r="A47" s="115"/>
      <c r="B47" s="133"/>
      <c r="C47" s="133"/>
      <c r="D47" s="133"/>
      <c r="E47" s="117"/>
      <c r="F47" s="133"/>
      <c r="G47" s="134"/>
    </row>
    <row r="48" spans="1:8" x14ac:dyDescent="0.25">
      <c r="A48" s="135" t="s">
        <v>271</v>
      </c>
      <c r="B48" s="38"/>
      <c r="C48" s="38"/>
      <c r="D48" s="38"/>
      <c r="E48" s="50"/>
      <c r="F48" s="38"/>
      <c r="G48" s="121">
        <f>+G11</f>
        <v>-61594</v>
      </c>
    </row>
    <row r="49" spans="1:7" x14ac:dyDescent="0.25">
      <c r="A49" s="135" t="s">
        <v>272</v>
      </c>
      <c r="B49" s="38"/>
      <c r="C49" s="38"/>
      <c r="D49" s="38"/>
      <c r="E49" s="50"/>
      <c r="F49" s="38"/>
      <c r="G49" s="121">
        <f>+G45</f>
        <v>-6515.3563999999933</v>
      </c>
    </row>
    <row r="50" spans="1:7" x14ac:dyDescent="0.25">
      <c r="A50" s="135" t="s">
        <v>281</v>
      </c>
      <c r="B50" s="38"/>
      <c r="C50" s="38"/>
      <c r="D50" s="38"/>
      <c r="E50" s="50"/>
      <c r="F50" s="38"/>
      <c r="G50" s="136">
        <f>SUM(G48:G49)</f>
        <v>-68109.35639999999</v>
      </c>
    </row>
    <row r="51" spans="1:7" x14ac:dyDescent="0.25">
      <c r="A51" s="126"/>
      <c r="B51" s="131"/>
      <c r="C51" s="131"/>
      <c r="D51" s="131"/>
      <c r="E51" s="67"/>
      <c r="F51" s="131"/>
      <c r="G51" s="137"/>
    </row>
    <row r="53" spans="1:7" x14ac:dyDescent="0.25">
      <c r="A53" s="115"/>
      <c r="B53" s="133"/>
      <c r="C53" s="133"/>
      <c r="D53" s="133" t="s">
        <v>282</v>
      </c>
      <c r="E53" s="117" t="s">
        <v>283</v>
      </c>
      <c r="F53" s="133" t="s">
        <v>284</v>
      </c>
      <c r="G53" s="134"/>
    </row>
    <row r="54" spans="1:7" x14ac:dyDescent="0.25">
      <c r="A54" s="135" t="s">
        <v>286</v>
      </c>
      <c r="B54" s="38"/>
      <c r="C54" s="38"/>
      <c r="D54" s="84">
        <f>+'5-BALANCES Y CALCULOS'!B52</f>
        <v>274422.48050000006</v>
      </c>
      <c r="E54" s="84">
        <f>+'5-BALANCES Y CALCULOS'!C52</f>
        <v>131257.25550000003</v>
      </c>
      <c r="F54" s="50">
        <f>+D54</f>
        <v>274422.48050000006</v>
      </c>
      <c r="G54" s="124"/>
    </row>
    <row r="55" spans="1:7" x14ac:dyDescent="0.25">
      <c r="A55" s="119" t="s">
        <v>285</v>
      </c>
      <c r="B55" s="38"/>
      <c r="C55" s="38"/>
      <c r="D55" s="50"/>
      <c r="E55" s="50"/>
      <c r="F55" s="50">
        <f>+G50</f>
        <v>-68109.35639999999</v>
      </c>
      <c r="G55" s="124"/>
    </row>
    <row r="56" spans="1:7" x14ac:dyDescent="0.25">
      <c r="A56" s="135" t="s">
        <v>289</v>
      </c>
      <c r="B56" s="38"/>
      <c r="C56" s="38"/>
      <c r="D56" s="50"/>
      <c r="E56" s="50"/>
      <c r="F56" s="84">
        <f>+F54+F55</f>
        <v>206313.12410000007</v>
      </c>
      <c r="G56" s="124"/>
    </row>
    <row r="57" spans="1:7" x14ac:dyDescent="0.25">
      <c r="A57" s="119" t="s">
        <v>173</v>
      </c>
      <c r="B57" s="38"/>
      <c r="C57" s="38"/>
      <c r="D57" s="50">
        <f>-D54*0.35</f>
        <v>-96047.868175000011</v>
      </c>
      <c r="E57" s="50">
        <f>-E54*0.35</f>
        <v>-45940.03942500001</v>
      </c>
      <c r="F57" s="50">
        <f>-F56*0.35</f>
        <v>-72209.593435000017</v>
      </c>
      <c r="G57" s="124"/>
    </row>
    <row r="58" spans="1:7" x14ac:dyDescent="0.25">
      <c r="A58" s="119" t="s">
        <v>174</v>
      </c>
      <c r="B58" s="38"/>
      <c r="C58" s="38"/>
      <c r="D58" s="50">
        <f>+D54+D57</f>
        <v>178374.61232500005</v>
      </c>
      <c r="E58" s="50">
        <f>+E54+E57</f>
        <v>85317.216075000018</v>
      </c>
      <c r="F58" s="50">
        <f>+F56+F57</f>
        <v>134103.53066500006</v>
      </c>
      <c r="G58" s="124"/>
    </row>
    <row r="59" spans="1:7" x14ac:dyDescent="0.25">
      <c r="A59" s="119" t="s">
        <v>287</v>
      </c>
      <c r="B59" s="38"/>
      <c r="C59" s="38"/>
      <c r="D59" s="158">
        <f>+D57/-D54</f>
        <v>0.35</v>
      </c>
      <c r="E59" s="159"/>
      <c r="F59" s="159"/>
      <c r="G59" s="124"/>
    </row>
    <row r="60" spans="1:7" x14ac:dyDescent="0.25">
      <c r="A60" s="119" t="s">
        <v>288</v>
      </c>
      <c r="B60" s="38"/>
      <c r="C60" s="38"/>
      <c r="D60" s="93"/>
      <c r="E60" s="158">
        <f>-D57/E54</f>
        <v>0.73175283003688885</v>
      </c>
      <c r="F60" s="160"/>
      <c r="G60" s="124"/>
    </row>
    <row r="61" spans="1:7" x14ac:dyDescent="0.25">
      <c r="A61" s="126" t="s">
        <v>290</v>
      </c>
      <c r="B61" s="131"/>
      <c r="C61" s="131"/>
      <c r="D61" s="161"/>
      <c r="E61" s="162"/>
      <c r="F61" s="161">
        <f>-D57/F56</f>
        <v>0.46554415088225587</v>
      </c>
      <c r="G61" s="137"/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2"/>
  <sheetViews>
    <sheetView workbookViewId="0"/>
  </sheetViews>
  <sheetFormatPr baseColWidth="10" defaultRowHeight="15" x14ac:dyDescent="0.25"/>
  <cols>
    <col min="1" max="1" width="21.42578125" bestFit="1" customWidth="1"/>
    <col min="2" max="3" width="12.42578125" style="3" bestFit="1" customWidth="1"/>
  </cols>
  <sheetData>
    <row r="1" spans="1:3" x14ac:dyDescent="0.25">
      <c r="A1" s="45" t="s">
        <v>177</v>
      </c>
      <c r="B1" s="63" t="s">
        <v>147</v>
      </c>
      <c r="C1" s="63" t="s">
        <v>148</v>
      </c>
    </row>
    <row r="2" spans="1:3" x14ac:dyDescent="0.25">
      <c r="A2" t="s">
        <v>133</v>
      </c>
      <c r="B2" s="62">
        <f>+'5-BALANCES Y CALCULOS'!B2</f>
        <v>559157.31999999995</v>
      </c>
      <c r="C2" s="62">
        <f>+'5-BALANCES Y CALCULOS'!C2</f>
        <v>559157.31999999995</v>
      </c>
    </row>
    <row r="3" spans="1:3" x14ac:dyDescent="0.25">
      <c r="A3" t="s">
        <v>134</v>
      </c>
      <c r="B3" s="62">
        <f>+'5-BALANCES Y CALCULOS'!B3</f>
        <v>92000</v>
      </c>
      <c r="C3" s="62">
        <f>+'5-BALANCES Y CALCULOS'!C3</f>
        <v>92000</v>
      </c>
    </row>
    <row r="4" spans="1:3" x14ac:dyDescent="0.25">
      <c r="A4" t="s">
        <v>135</v>
      </c>
      <c r="B4" s="62">
        <f>+'5-BALANCES Y CALCULOS'!B4</f>
        <v>272472.70049999998</v>
      </c>
      <c r="C4" s="62">
        <f>+'5-BALANCES Y CALCULOS'!C4</f>
        <v>272472.70049999998</v>
      </c>
    </row>
    <row r="5" spans="1:3" x14ac:dyDescent="0.25">
      <c r="A5" t="s">
        <v>74</v>
      </c>
      <c r="B5" s="62">
        <f>+'5-BALANCES Y CALCULOS'!B5</f>
        <v>287620</v>
      </c>
      <c r="C5" s="62">
        <f>+'5-BALANCES Y CALCULOS'!C5</f>
        <v>287620</v>
      </c>
    </row>
    <row r="6" spans="1:3" x14ac:dyDescent="0.25">
      <c r="A6" t="s">
        <v>136</v>
      </c>
      <c r="B6" s="62">
        <f>+'5-BALANCES Y CALCULOS'!B6</f>
        <v>17795.199999999997</v>
      </c>
      <c r="C6" s="62">
        <f>+'5-BALANCES Y CALCULOS'!C6</f>
        <v>22244</v>
      </c>
    </row>
    <row r="7" spans="1:3" x14ac:dyDescent="0.25">
      <c r="A7" t="s">
        <v>86</v>
      </c>
      <c r="B7" s="62">
        <f>+'5-BALANCES Y CALCULOS'!B7</f>
        <v>88519.5</v>
      </c>
      <c r="C7" s="62">
        <f>+'5-BALANCES Y CALCULOS'!C7</f>
        <v>110649.375</v>
      </c>
    </row>
    <row r="8" spans="1:3" x14ac:dyDescent="0.25">
      <c r="A8" t="s">
        <v>137</v>
      </c>
      <c r="B8" s="62">
        <f>+'5-BALANCES Y CALCULOS'!B8</f>
        <v>35802.400000000023</v>
      </c>
      <c r="C8" s="62">
        <f>+'5-BALANCES Y CALCULOS'!C8</f>
        <v>44753</v>
      </c>
    </row>
    <row r="9" spans="1:3" x14ac:dyDescent="0.25">
      <c r="A9" s="45" t="s">
        <v>142</v>
      </c>
      <c r="B9" s="109">
        <f>SUM(B2:B8)</f>
        <v>1353367.1204999997</v>
      </c>
      <c r="C9" s="147">
        <f>SUM(C2:C8)</f>
        <v>1388896.3954999999</v>
      </c>
    </row>
    <row r="10" spans="1:3" x14ac:dyDescent="0.25">
      <c r="A10" t="s">
        <v>132</v>
      </c>
      <c r="B10" s="62">
        <f>+'5-BALANCES Y CALCULOS'!B10</f>
        <v>172243.5</v>
      </c>
      <c r="C10" s="62">
        <f>+'5-BALANCES Y CALCULOS'!C10</f>
        <v>172243.5</v>
      </c>
    </row>
    <row r="11" spans="1:3" x14ac:dyDescent="0.25">
      <c r="A11" t="s">
        <v>138</v>
      </c>
      <c r="B11" s="62">
        <f>+'5-BALANCES Y CALCULOS'!B11</f>
        <v>136291.68000000002</v>
      </c>
      <c r="C11" s="62">
        <f>+'5-BALANCES Y CALCULOS'!C11</f>
        <v>136291.68000000002</v>
      </c>
    </row>
    <row r="12" spans="1:3" x14ac:dyDescent="0.25">
      <c r="A12" t="s">
        <v>175</v>
      </c>
      <c r="B12" s="62">
        <f>+'5-BALANCES Y CALCULOS'!B12</f>
        <v>96047.868175000011</v>
      </c>
      <c r="C12" s="62">
        <f>+'5-BALANCES Y CALCULOS'!C12</f>
        <v>45940.03942500001</v>
      </c>
    </row>
    <row r="13" spans="1:3" x14ac:dyDescent="0.25">
      <c r="A13" t="s">
        <v>139</v>
      </c>
      <c r="B13" s="62">
        <f>+'5-BALANCES Y CALCULOS'!B13</f>
        <v>7908.96</v>
      </c>
      <c r="C13" s="62">
        <f>+'5-BALANCES Y CALCULOS'!C13</f>
        <v>7908.96</v>
      </c>
    </row>
    <row r="14" spans="1:3" x14ac:dyDescent="0.25">
      <c r="A14" t="s">
        <v>91</v>
      </c>
      <c r="B14" s="62">
        <f>+'5-BALANCES Y CALCULOS'!B14</f>
        <v>41296.5</v>
      </c>
      <c r="C14" s="62">
        <f>+'5-BALANCES Y CALCULOS'!C14</f>
        <v>41296.5</v>
      </c>
    </row>
    <row r="15" spans="1:3" x14ac:dyDescent="0.25">
      <c r="A15" t="s">
        <v>92</v>
      </c>
      <c r="B15" s="62">
        <f>+'5-BALANCES Y CALCULOS'!B15</f>
        <v>3401</v>
      </c>
      <c r="C15" s="62">
        <f>+'5-BALANCES Y CALCULOS'!C15</f>
        <v>3401</v>
      </c>
    </row>
    <row r="16" spans="1:3" x14ac:dyDescent="0.25">
      <c r="A16" t="s">
        <v>140</v>
      </c>
      <c r="B16" s="62">
        <f>+'5-BALANCES Y CALCULOS'!B16</f>
        <v>3025</v>
      </c>
      <c r="C16" s="62">
        <f>+'5-BALANCES Y CALCULOS'!C16</f>
        <v>3025</v>
      </c>
    </row>
    <row r="17" spans="1:6" x14ac:dyDescent="0.25">
      <c r="A17" s="45" t="s">
        <v>143</v>
      </c>
      <c r="B17" s="109">
        <f>SUM(B10:B16)</f>
        <v>460214.50817500008</v>
      </c>
      <c r="C17" s="109">
        <f>SUM(C10:C16)</f>
        <v>410106.6794250001</v>
      </c>
    </row>
    <row r="18" spans="1:6" x14ac:dyDescent="0.25">
      <c r="A18" t="s">
        <v>73</v>
      </c>
      <c r="B18" s="62">
        <f>+'5-BALANCES Y CALCULOS'!B18</f>
        <v>714778</v>
      </c>
      <c r="C18" s="62">
        <f>+'5-BALANCES Y CALCULOS'!C18</f>
        <v>714778</v>
      </c>
    </row>
    <row r="19" spans="1:6" x14ac:dyDescent="0.25">
      <c r="A19" t="s">
        <v>145</v>
      </c>
      <c r="B19" s="62">
        <f>+'5-BALANCES Y CALCULOS'!B19</f>
        <v>0</v>
      </c>
      <c r="C19" s="62">
        <f>+'5-BALANCES Y CALCULOS'!C19</f>
        <v>178694.5</v>
      </c>
    </row>
    <row r="20" spans="1:6" x14ac:dyDescent="0.25">
      <c r="A20" t="s">
        <v>141</v>
      </c>
      <c r="B20" s="62">
        <f>+B54</f>
        <v>178374.61232500005</v>
      </c>
      <c r="C20" s="62">
        <f>+C54</f>
        <v>85317.216075000018</v>
      </c>
    </row>
    <row r="21" spans="1:6" x14ac:dyDescent="0.25">
      <c r="A21" s="45" t="s">
        <v>144</v>
      </c>
      <c r="B21" s="109">
        <f>SUM(B18:B20)</f>
        <v>893152.61232500011</v>
      </c>
      <c r="C21" s="109">
        <f>SUM(C18:C20)</f>
        <v>978789.716075</v>
      </c>
    </row>
    <row r="22" spans="1:6" x14ac:dyDescent="0.25">
      <c r="B22" s="107">
        <f>+B9-B17-B21</f>
        <v>0</v>
      </c>
      <c r="C22" s="107">
        <f>+C9-C17-C21</f>
        <v>0</v>
      </c>
    </row>
    <row r="23" spans="1:6" x14ac:dyDescent="0.25">
      <c r="A23" t="s">
        <v>79</v>
      </c>
      <c r="B23" s="62">
        <f>+'5-BALANCES Y CALCULOS'!B23</f>
        <v>2076552</v>
      </c>
      <c r="C23" s="62">
        <f>+'5-BALANCES Y CALCULOS'!C23</f>
        <v>2277689.67</v>
      </c>
      <c r="F23" t="s">
        <v>323</v>
      </c>
    </row>
    <row r="24" spans="1:6" x14ac:dyDescent="0.25">
      <c r="A24" s="44" t="s">
        <v>178</v>
      </c>
      <c r="B24" s="62">
        <f>+'5-BALANCES Y CALCULOS'!B24</f>
        <v>-1265383.1499999999</v>
      </c>
      <c r="C24" s="62">
        <f>+'5-BALANCES Y CALCULOS'!C24</f>
        <v>-1265383.1499999999</v>
      </c>
      <c r="F24" t="s">
        <v>323</v>
      </c>
    </row>
    <row r="25" spans="1:6" x14ac:dyDescent="0.25">
      <c r="A25" s="44" t="s">
        <v>149</v>
      </c>
      <c r="B25" s="62">
        <f>+'5-BALANCES Y CALCULOS'!B25</f>
        <v>13750</v>
      </c>
      <c r="C25" s="62">
        <f>+'5-BALANCES Y CALCULOS'!C25</f>
        <v>-5812.5</v>
      </c>
      <c r="D25" t="s">
        <v>291</v>
      </c>
      <c r="E25" t="s">
        <v>305</v>
      </c>
      <c r="F25" t="s">
        <v>323</v>
      </c>
    </row>
    <row r="26" spans="1:6" x14ac:dyDescent="0.25">
      <c r="A26" t="s">
        <v>150</v>
      </c>
      <c r="B26" s="62">
        <f>+'5-BALANCES Y CALCULOS'!B26</f>
        <v>12974.890500000009</v>
      </c>
      <c r="C26" s="62">
        <f>+'5-BALANCES Y CALCULOS'!C26</f>
        <v>6541.0604999999923</v>
      </c>
      <c r="D26" t="s">
        <v>291</v>
      </c>
      <c r="E26" t="s">
        <v>306</v>
      </c>
      <c r="F26" t="s">
        <v>323</v>
      </c>
    </row>
    <row r="27" spans="1:6" x14ac:dyDescent="0.25">
      <c r="A27" t="s">
        <v>152</v>
      </c>
      <c r="B27" s="62">
        <f>+'5-BALANCES Y CALCULOS'!B27</f>
        <v>-7677.4500000000116</v>
      </c>
      <c r="C27" s="62">
        <f>+'5-BALANCES Y CALCULOS'!C27</f>
        <v>-7907.7735000000102</v>
      </c>
      <c r="D27" t="s">
        <v>291</v>
      </c>
      <c r="E27" t="s">
        <v>307</v>
      </c>
      <c r="F27" t="s">
        <v>324</v>
      </c>
    </row>
    <row r="28" spans="1:6" x14ac:dyDescent="0.25">
      <c r="A28" t="s">
        <v>151</v>
      </c>
      <c r="B28" s="62">
        <f>+'5-BALANCES Y CALCULOS'!B28</f>
        <v>5260</v>
      </c>
      <c r="C28" s="62">
        <f>+'5-BALANCES Y CALCULOS'!C28</f>
        <v>797.5</v>
      </c>
      <c r="D28" t="s">
        <v>291</v>
      </c>
      <c r="E28" t="s">
        <v>309</v>
      </c>
      <c r="F28" t="s">
        <v>323</v>
      </c>
    </row>
    <row r="29" spans="1:6" x14ac:dyDescent="0.25">
      <c r="A29" t="s">
        <v>4</v>
      </c>
      <c r="B29" s="62">
        <f>+'5-BALANCES Y CALCULOS'!B29</f>
        <v>172543.14999999991</v>
      </c>
      <c r="C29" s="62">
        <f>+'5-BALANCES Y CALCULOS'!C29</f>
        <v>8971.6499999999069</v>
      </c>
      <c r="D29" t="s">
        <v>291</v>
      </c>
      <c r="E29" t="s">
        <v>310</v>
      </c>
      <c r="F29" t="s">
        <v>323</v>
      </c>
    </row>
    <row r="30" spans="1:6" x14ac:dyDescent="0.25">
      <c r="A30" t="s">
        <v>153</v>
      </c>
      <c r="B30" s="62">
        <f>+'5-BALANCES Y CALCULOS'!B30</f>
        <v>-27812</v>
      </c>
      <c r="C30" s="62">
        <f>+'5-BALANCES Y CALCULOS'!C30</f>
        <v>-30673.49</v>
      </c>
      <c r="D30" t="s">
        <v>292</v>
      </c>
      <c r="E30" t="s">
        <v>311</v>
      </c>
      <c r="F30" t="s">
        <v>323</v>
      </c>
    </row>
    <row r="31" spans="1:6" x14ac:dyDescent="0.25">
      <c r="A31" t="s">
        <v>146</v>
      </c>
      <c r="B31" s="62">
        <f>+'5-BALANCES Y CALCULOS'!B31</f>
        <v>-100800</v>
      </c>
      <c r="C31" s="62">
        <f>+'5-BALANCES Y CALCULOS'!C31</f>
        <v>-111696</v>
      </c>
      <c r="D31" t="s">
        <v>293</v>
      </c>
      <c r="E31" t="s">
        <v>311</v>
      </c>
      <c r="F31" t="s">
        <v>323</v>
      </c>
    </row>
    <row r="32" spans="1:6" x14ac:dyDescent="0.25">
      <c r="A32" t="s">
        <v>154</v>
      </c>
      <c r="B32" s="62">
        <f>+'5-BALANCES Y CALCULOS'!B32</f>
        <v>-1920</v>
      </c>
      <c r="C32" s="62">
        <f>+'5-BALANCES Y CALCULOS'!C32</f>
        <v>-2123.6999999999998</v>
      </c>
      <c r="D32" t="s">
        <v>293</v>
      </c>
      <c r="E32" t="s">
        <v>311</v>
      </c>
      <c r="F32" s="3" t="s">
        <v>323</v>
      </c>
    </row>
    <row r="33" spans="1:6" x14ac:dyDescent="0.25">
      <c r="A33" t="s">
        <v>155</v>
      </c>
      <c r="B33" s="62">
        <f>+'5-BALANCES Y CALCULOS'!B33</f>
        <v>-12689</v>
      </c>
      <c r="C33" s="62">
        <f>+'5-BALANCES Y CALCULOS'!C33</f>
        <v>-15607.47</v>
      </c>
      <c r="D33" t="s">
        <v>293</v>
      </c>
      <c r="E33" t="s">
        <v>314</v>
      </c>
      <c r="F33" s="3" t="s">
        <v>323</v>
      </c>
    </row>
    <row r="34" spans="1:6" x14ac:dyDescent="0.25">
      <c r="A34" t="s">
        <v>157</v>
      </c>
      <c r="B34" s="62">
        <f>+'5-BALANCES Y CALCULOS'!B34</f>
        <v>-19505</v>
      </c>
      <c r="C34" s="62">
        <f>+'5-BALANCES Y CALCULOS'!C34</f>
        <v>-21979.089999999997</v>
      </c>
      <c r="D34" t="s">
        <v>293</v>
      </c>
      <c r="E34" t="s">
        <v>314</v>
      </c>
      <c r="F34" t="s">
        <v>323</v>
      </c>
    </row>
    <row r="35" spans="1:6" x14ac:dyDescent="0.25">
      <c r="A35" t="s">
        <v>156</v>
      </c>
      <c r="B35" s="62">
        <f>+'5-BALANCES Y CALCULOS'!B35</f>
        <v>-23562</v>
      </c>
      <c r="C35" s="62">
        <f>+'5-BALANCES Y CALCULOS'!C35</f>
        <v>-25935.670000000002</v>
      </c>
      <c r="D35" t="s">
        <v>293</v>
      </c>
      <c r="E35" t="s">
        <v>314</v>
      </c>
      <c r="F35" t="s">
        <v>323</v>
      </c>
    </row>
    <row r="36" spans="1:6" x14ac:dyDescent="0.25">
      <c r="A36" t="s">
        <v>158</v>
      </c>
      <c r="B36" s="62">
        <f>+'5-BALANCES Y CALCULOS'!B36</f>
        <v>-33000</v>
      </c>
      <c r="C36" s="62">
        <f>+'5-BALANCES Y CALCULOS'!C36</f>
        <v>-36980</v>
      </c>
      <c r="D36" t="s">
        <v>292</v>
      </c>
      <c r="E36" t="s">
        <v>311</v>
      </c>
      <c r="F36" t="s">
        <v>323</v>
      </c>
    </row>
    <row r="37" spans="1:6" x14ac:dyDescent="0.25">
      <c r="A37" t="s">
        <v>159</v>
      </c>
      <c r="B37" s="62">
        <f>+'5-BALANCES Y CALCULOS'!B37</f>
        <v>-19200</v>
      </c>
      <c r="C37" s="62">
        <f>+'5-BALANCES Y CALCULOS'!C37</f>
        <v>-21259</v>
      </c>
      <c r="D37" t="s">
        <v>293</v>
      </c>
      <c r="E37" t="s">
        <v>311</v>
      </c>
      <c r="F37" t="s">
        <v>323</v>
      </c>
    </row>
    <row r="38" spans="1:6" x14ac:dyDescent="0.25">
      <c r="A38" t="s">
        <v>160</v>
      </c>
      <c r="B38" s="62">
        <f>+'5-BALANCES Y CALCULOS'!B38</f>
        <v>-2863</v>
      </c>
      <c r="C38" s="62">
        <f>+'5-BALANCES Y CALCULOS'!C38</f>
        <v>-3169.03</v>
      </c>
      <c r="D38" t="s">
        <v>293</v>
      </c>
      <c r="E38" t="s">
        <v>315</v>
      </c>
      <c r="F38" t="s">
        <v>323</v>
      </c>
    </row>
    <row r="39" spans="1:6" x14ac:dyDescent="0.25">
      <c r="A39" t="s">
        <v>161</v>
      </c>
      <c r="B39" s="62">
        <f>+'5-BALANCES Y CALCULOS'!B39</f>
        <v>-31618</v>
      </c>
      <c r="C39" s="62">
        <f>+'5-BALANCES Y CALCULOS'!C39</f>
        <v>-34911.379999999997</v>
      </c>
      <c r="D39" t="s">
        <v>293</v>
      </c>
      <c r="E39" s="3" t="s">
        <v>315</v>
      </c>
      <c r="F39" s="3" t="s">
        <v>323</v>
      </c>
    </row>
    <row r="40" spans="1:6" x14ac:dyDescent="0.25">
      <c r="A40" t="s">
        <v>162</v>
      </c>
      <c r="B40" s="62">
        <f>+'5-BALANCES Y CALCULOS'!B40</f>
        <v>-25000</v>
      </c>
      <c r="C40" s="62">
        <f>+'5-BALANCES Y CALCULOS'!C40</f>
        <v>-27675</v>
      </c>
      <c r="D40" t="s">
        <v>293</v>
      </c>
      <c r="E40" t="s">
        <v>316</v>
      </c>
      <c r="F40" t="s">
        <v>324</v>
      </c>
    </row>
    <row r="41" spans="1:6" x14ac:dyDescent="0.25">
      <c r="A41" t="s">
        <v>163</v>
      </c>
      <c r="B41" s="62">
        <f>+'5-BALANCES Y CALCULOS'!B41</f>
        <v>-13656</v>
      </c>
      <c r="C41" s="62">
        <f>+'5-BALANCES Y CALCULOS'!C41</f>
        <v>-15062.83</v>
      </c>
      <c r="D41" t="s">
        <v>293</v>
      </c>
      <c r="E41" t="s">
        <v>317</v>
      </c>
      <c r="F41" t="s">
        <v>323</v>
      </c>
    </row>
    <row r="42" spans="1:6" x14ac:dyDescent="0.25">
      <c r="A42" t="s">
        <v>164</v>
      </c>
      <c r="B42" s="62">
        <f>+'5-BALANCES Y CALCULOS'!B42</f>
        <v>-138250</v>
      </c>
      <c r="C42" s="62">
        <f>+'5-BALANCES Y CALCULOS'!C42</f>
        <v>-152480</v>
      </c>
      <c r="D42" t="s">
        <v>293</v>
      </c>
      <c r="E42" t="s">
        <v>318</v>
      </c>
      <c r="F42" t="s">
        <v>324</v>
      </c>
    </row>
    <row r="43" spans="1:6" x14ac:dyDescent="0.25">
      <c r="A43" t="s">
        <v>165</v>
      </c>
      <c r="B43" s="62">
        <f>+'5-BALANCES Y CALCULOS'!B43</f>
        <v>-110600</v>
      </c>
      <c r="C43" s="62">
        <f>+'5-BALANCES Y CALCULOS'!C43</f>
        <v>-121984</v>
      </c>
      <c r="D43" t="s">
        <v>292</v>
      </c>
      <c r="E43" t="s">
        <v>318</v>
      </c>
      <c r="F43" t="s">
        <v>324</v>
      </c>
    </row>
    <row r="44" spans="1:6" x14ac:dyDescent="0.25">
      <c r="A44" t="s">
        <v>167</v>
      </c>
      <c r="B44" s="62">
        <f>+'5-BALANCES Y CALCULOS'!B44</f>
        <v>-45622.5</v>
      </c>
      <c r="C44" s="62">
        <f>+'5-BALANCES Y CALCULOS'!C44</f>
        <v>-50318.399999999994</v>
      </c>
      <c r="D44" t="s">
        <v>293</v>
      </c>
      <c r="E44" t="s">
        <v>319</v>
      </c>
      <c r="F44" t="s">
        <v>324</v>
      </c>
    </row>
    <row r="45" spans="1:6" x14ac:dyDescent="0.25">
      <c r="A45" t="s">
        <v>166</v>
      </c>
      <c r="B45" s="62">
        <f>+'5-BALANCES Y CALCULOS'!B45</f>
        <v>-36498</v>
      </c>
      <c r="C45" s="62">
        <f>+'5-BALANCES Y CALCULOS'!C45</f>
        <v>-40254.720000000001</v>
      </c>
      <c r="D45" t="s">
        <v>292</v>
      </c>
      <c r="E45" t="s">
        <v>319</v>
      </c>
      <c r="F45" t="s">
        <v>324</v>
      </c>
    </row>
    <row r="46" spans="1:6" x14ac:dyDescent="0.25">
      <c r="A46" t="s">
        <v>168</v>
      </c>
      <c r="B46" s="62">
        <f>+'5-BALANCES Y CALCULOS'!B46</f>
        <v>-62296.56</v>
      </c>
      <c r="C46" s="62">
        <f>+'5-BALANCES Y CALCULOS'!C46</f>
        <v>-68330.690100000007</v>
      </c>
      <c r="D46" t="s">
        <v>292</v>
      </c>
      <c r="E46" t="s">
        <v>320</v>
      </c>
      <c r="F46" t="s">
        <v>324</v>
      </c>
    </row>
    <row r="47" spans="1:6" x14ac:dyDescent="0.25">
      <c r="A47" t="s">
        <v>169</v>
      </c>
      <c r="B47" s="62">
        <f>+'5-BALANCES Y CALCULOS'!B47</f>
        <v>-5470</v>
      </c>
      <c r="C47" s="62">
        <f>+'5-BALANCES Y CALCULOS'!C47</f>
        <v>-6045.7500000000009</v>
      </c>
      <c r="D47" t="s">
        <v>293</v>
      </c>
      <c r="E47" t="s">
        <v>320</v>
      </c>
      <c r="F47" t="s">
        <v>324</v>
      </c>
    </row>
    <row r="48" spans="1:6" x14ac:dyDescent="0.25">
      <c r="A48" t="s">
        <v>170</v>
      </c>
      <c r="B48" s="62">
        <f>+'5-BALANCES Y CALCULOS'!B48</f>
        <v>-8950.6</v>
      </c>
      <c r="C48" s="62">
        <f>+'5-BALANCES Y CALCULOS'!C48</f>
        <v>-11188.25</v>
      </c>
      <c r="D48" t="s">
        <v>293</v>
      </c>
      <c r="E48" t="s">
        <v>321</v>
      </c>
      <c r="F48" t="s">
        <v>323</v>
      </c>
    </row>
    <row r="49" spans="1:9" x14ac:dyDescent="0.25">
      <c r="A49" t="s">
        <v>171</v>
      </c>
      <c r="B49" s="62">
        <f>+'5-BALANCES Y CALCULOS'!B49</f>
        <v>-9835.5</v>
      </c>
      <c r="C49" s="62">
        <f>+'5-BALANCES Y CALCULOS'!C49</f>
        <v>-12294.375</v>
      </c>
      <c r="D49" t="s">
        <v>293</v>
      </c>
      <c r="E49" t="s">
        <v>321</v>
      </c>
      <c r="F49" t="s">
        <v>323</v>
      </c>
    </row>
    <row r="50" spans="1:9" x14ac:dyDescent="0.25">
      <c r="A50" t="s">
        <v>172</v>
      </c>
      <c r="B50" s="62">
        <f>+'5-BALANCES Y CALCULOS'!B50</f>
        <v>-4448.8000000000011</v>
      </c>
      <c r="C50" s="62">
        <f>+'5-BALANCES Y CALCULOS'!C50</f>
        <v>-5561.0000000000018</v>
      </c>
      <c r="D50" t="s">
        <v>293</v>
      </c>
      <c r="E50" t="s">
        <v>321</v>
      </c>
      <c r="F50" t="s">
        <v>323</v>
      </c>
    </row>
    <row r="51" spans="1:9" x14ac:dyDescent="0.25">
      <c r="A51" t="s">
        <v>257</v>
      </c>
      <c r="B51" s="62">
        <f>+'5-BALANCES Y CALCULOS'!B51</f>
        <v>0</v>
      </c>
      <c r="C51" s="62">
        <f>+'5-BALANCES Y CALCULOS'!C51</f>
        <v>-68109.356400000004</v>
      </c>
      <c r="D51" t="s">
        <v>291</v>
      </c>
      <c r="E51" t="s">
        <v>296</v>
      </c>
      <c r="F51" t="s">
        <v>323</v>
      </c>
    </row>
    <row r="52" spans="1:9" x14ac:dyDescent="0.25">
      <c r="A52" s="70" t="s">
        <v>176</v>
      </c>
      <c r="B52" s="71">
        <f>SUM(B23:B51)</f>
        <v>274422.48050000006</v>
      </c>
      <c r="C52" s="71">
        <f>SUM(C23:C51)</f>
        <v>131257.25550000003</v>
      </c>
    </row>
    <row r="53" spans="1:9" x14ac:dyDescent="0.25">
      <c r="A53" s="44" t="s">
        <v>173</v>
      </c>
      <c r="B53" s="3">
        <f>-B52*0.35</f>
        <v>-96047.868175000011</v>
      </c>
      <c r="C53" s="3">
        <f>-C52*0.35</f>
        <v>-45940.03942500001</v>
      </c>
      <c r="D53" t="s">
        <v>320</v>
      </c>
      <c r="E53" t="s">
        <v>320</v>
      </c>
      <c r="F53" t="s">
        <v>324</v>
      </c>
    </row>
    <row r="54" spans="1:9" x14ac:dyDescent="0.25">
      <c r="A54" s="45" t="s">
        <v>174</v>
      </c>
      <c r="B54" s="61">
        <f>+B52+B53</f>
        <v>178374.61232500005</v>
      </c>
      <c r="C54" s="61">
        <f>+C52+C53</f>
        <v>85317.216075000018</v>
      </c>
      <c r="D54" t="s">
        <v>322</v>
      </c>
      <c r="E54" t="s">
        <v>322</v>
      </c>
      <c r="F54" t="s">
        <v>324</v>
      </c>
    </row>
    <row r="56" spans="1:9" x14ac:dyDescent="0.25">
      <c r="B56" s="63" t="s">
        <v>294</v>
      </c>
      <c r="C56" s="63" t="s">
        <v>295</v>
      </c>
    </row>
    <row r="57" spans="1:9" x14ac:dyDescent="0.25">
      <c r="A57" t="s">
        <v>5</v>
      </c>
      <c r="B57" s="3">
        <f>+B23</f>
        <v>2076552</v>
      </c>
      <c r="C57" s="3">
        <f>+C23</f>
        <v>2277689.67</v>
      </c>
      <c r="G57" s="45" t="s">
        <v>325</v>
      </c>
      <c r="H57" s="45" t="s">
        <v>147</v>
      </c>
      <c r="I57" s="45" t="s">
        <v>326</v>
      </c>
    </row>
    <row r="58" spans="1:9" x14ac:dyDescent="0.25">
      <c r="A58" t="s">
        <v>2</v>
      </c>
      <c r="B58" s="3">
        <f>+B24</f>
        <v>-1265383.1499999999</v>
      </c>
      <c r="C58" s="3">
        <f>+C24</f>
        <v>-1265383.1499999999</v>
      </c>
      <c r="G58" t="s">
        <v>323</v>
      </c>
      <c r="H58" s="3">
        <f>+B23+B24+B25+B26+B28+B29+B30+B31+B32+B33+B34+B35+B36+B37+B38+B39+B41+B48+B49+B50+B51</f>
        <v>705836.99049999996</v>
      </c>
      <c r="I58" s="3">
        <f>+C23+C24+C25+C26+C28+C29+C30+C31+C32+C33+C34+C35+C36+C37+C38+C39+C41+C48+C49+C50+C51</f>
        <v>606253.58909999998</v>
      </c>
    </row>
    <row r="59" spans="1:9" x14ac:dyDescent="0.25">
      <c r="A59" t="s">
        <v>293</v>
      </c>
      <c r="B59" s="3">
        <f>+B31+B32+B33+B34+B35+B37+B38+B39+B40+B41+B42+B44+B47+B48+B49+B50</f>
        <v>-463390.39999999997</v>
      </c>
      <c r="C59" s="3">
        <f>+C31+C32+C33+C34+C35+C37+C38+C39+C40+C41+C42+C44+C47+C48+C49+C50</f>
        <v>-517306.94500000007</v>
      </c>
      <c r="G59" t="s">
        <v>324</v>
      </c>
      <c r="H59" s="3">
        <f>-B27-B40-B42-B43-B44-B45-B46-B47-B53+B54</f>
        <v>705836.99050000007</v>
      </c>
      <c r="I59" s="3">
        <f>-C27-C40-C42-C43-C44-C45-C46-C47-C53+C54</f>
        <v>606253.5891000001</v>
      </c>
    </row>
    <row r="60" spans="1:9" x14ac:dyDescent="0.25">
      <c r="A60" t="s">
        <v>292</v>
      </c>
      <c r="B60" s="3">
        <f>+B30+B36+B43+B45+B46</f>
        <v>-270206.56</v>
      </c>
      <c r="C60" s="3">
        <f>+C30+C36+C43+C45+C46</f>
        <v>-298222.90009999997</v>
      </c>
    </row>
    <row r="61" spans="1:9" x14ac:dyDescent="0.25">
      <c r="A61" t="s">
        <v>296</v>
      </c>
      <c r="B61" s="3">
        <f>+B25+B26+B27+B28+B29+B51</f>
        <v>196850.5904999999</v>
      </c>
      <c r="C61" s="3">
        <f>+C25+C26+C27+C28+C29+C51</f>
        <v>-65519.419400000115</v>
      </c>
    </row>
    <row r="62" spans="1:9" x14ac:dyDescent="0.25">
      <c r="A62" t="s">
        <v>297</v>
      </c>
      <c r="B62" s="61">
        <f>SUM(B57:B61)</f>
        <v>274422.48050000006</v>
      </c>
      <c r="C62" s="61">
        <f>SUM(C57:C61)</f>
        <v>131257.25549999985</v>
      </c>
    </row>
  </sheetData>
  <sheetProtection sheet="1" objects="1" scenarios="1"/>
  <printOptions horizontalCentere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8"/>
  <sheetViews>
    <sheetView workbookViewId="0"/>
  </sheetViews>
  <sheetFormatPr baseColWidth="10" defaultRowHeight="15" x14ac:dyDescent="0.25"/>
  <cols>
    <col min="1" max="1" width="5.140625" bestFit="1" customWidth="1"/>
    <col min="2" max="2" width="63.5703125" bestFit="1" customWidth="1"/>
    <col min="3" max="3" width="11.7109375" bestFit="1" customWidth="1"/>
    <col min="4" max="4" width="12.42578125" bestFit="1" customWidth="1"/>
    <col min="6" max="6" width="21.85546875" bestFit="1" customWidth="1"/>
    <col min="7" max="7" width="12.42578125" bestFit="1" customWidth="1"/>
    <col min="10" max="10" width="13.42578125" customWidth="1"/>
    <col min="11" max="11" width="12.42578125" style="3" bestFit="1" customWidth="1"/>
  </cols>
  <sheetData>
    <row r="1" spans="1:11" x14ac:dyDescent="0.25">
      <c r="A1" s="163"/>
      <c r="B1" s="164"/>
      <c r="C1" s="164"/>
      <c r="D1" s="164"/>
    </row>
    <row r="2" spans="1:11" x14ac:dyDescent="0.25">
      <c r="A2" s="165"/>
      <c r="B2" s="166" t="s">
        <v>327</v>
      </c>
      <c r="C2" s="166" t="s">
        <v>328</v>
      </c>
      <c r="D2" s="166" t="s">
        <v>329</v>
      </c>
    </row>
    <row r="3" spans="1:11" x14ac:dyDescent="0.25">
      <c r="A3" s="167"/>
      <c r="B3" s="168"/>
      <c r="C3" s="168" t="s">
        <v>330</v>
      </c>
      <c r="D3" s="168" t="s">
        <v>331</v>
      </c>
      <c r="F3" s="45" t="s">
        <v>393</v>
      </c>
      <c r="J3" s="289"/>
      <c r="K3" s="288"/>
    </row>
    <row r="4" spans="1:11" x14ac:dyDescent="0.25">
      <c r="A4" s="169">
        <v>1</v>
      </c>
      <c r="B4" s="170" t="s">
        <v>332</v>
      </c>
      <c r="C4" s="204"/>
      <c r="D4" s="170"/>
      <c r="F4" s="171" t="s">
        <v>79</v>
      </c>
      <c r="G4" s="62">
        <f>+'7-CLASIFIC CTAS RDOS'!B23</f>
        <v>2076552</v>
      </c>
      <c r="J4" s="289"/>
      <c r="K4" s="288"/>
    </row>
    <row r="5" spans="1:11" x14ac:dyDescent="0.25">
      <c r="A5" s="172">
        <v>1.1000000000000001</v>
      </c>
      <c r="B5" s="173" t="s">
        <v>374</v>
      </c>
      <c r="C5" s="206">
        <f>+G4</f>
        <v>2076552</v>
      </c>
      <c r="D5" s="173"/>
      <c r="F5" s="171" t="s">
        <v>178</v>
      </c>
      <c r="G5" s="62">
        <f>+'7-CLASIFIC CTAS RDOS'!B24</f>
        <v>-1265383.1499999999</v>
      </c>
      <c r="J5" s="289"/>
      <c r="K5" s="288"/>
    </row>
    <row r="6" spans="1:11" x14ac:dyDescent="0.25">
      <c r="A6" s="172">
        <v>1.2</v>
      </c>
      <c r="B6" s="173" t="s">
        <v>333</v>
      </c>
      <c r="C6" s="206">
        <f>+G6</f>
        <v>13750</v>
      </c>
      <c r="D6" s="173"/>
      <c r="F6" s="171" t="s">
        <v>149</v>
      </c>
      <c r="G6" s="62">
        <f>+'7-CLASIFIC CTAS RDOS'!B25</f>
        <v>13750</v>
      </c>
      <c r="J6" s="289"/>
      <c r="K6" s="288"/>
    </row>
    <row r="7" spans="1:11" x14ac:dyDescent="0.25">
      <c r="A7" s="172">
        <v>1.3</v>
      </c>
      <c r="B7" s="173" t="s">
        <v>375</v>
      </c>
      <c r="C7" s="206"/>
      <c r="D7" s="173"/>
      <c r="F7" t="s">
        <v>146</v>
      </c>
      <c r="G7" s="62">
        <f>+'7-CLASIFIC CTAS RDOS'!B31</f>
        <v>-100800</v>
      </c>
      <c r="J7" s="289"/>
      <c r="K7" s="288"/>
    </row>
    <row r="8" spans="1:11" ht="15.75" thickBot="1" x14ac:dyDescent="0.3">
      <c r="A8" s="172">
        <v>1.4</v>
      </c>
      <c r="B8" s="173" t="s">
        <v>334</v>
      </c>
      <c r="C8" s="209"/>
      <c r="D8" s="174"/>
      <c r="F8" t="s">
        <v>154</v>
      </c>
      <c r="G8" s="62">
        <f>+'7-CLASIFIC CTAS RDOS'!B32</f>
        <v>-1920</v>
      </c>
      <c r="J8" s="289"/>
      <c r="K8" s="288"/>
    </row>
    <row r="9" spans="1:11" ht="16.5" thickTop="1" thickBot="1" x14ac:dyDescent="0.3">
      <c r="A9" s="172"/>
      <c r="B9" s="172" t="s">
        <v>335</v>
      </c>
      <c r="C9" s="221">
        <f>SUM(C5:C8)</f>
        <v>2090302</v>
      </c>
      <c r="D9" s="175"/>
      <c r="F9" t="s">
        <v>155</v>
      </c>
      <c r="G9" s="62">
        <f>+'7-CLASIFIC CTAS RDOS'!B33</f>
        <v>-12689</v>
      </c>
      <c r="J9" s="289"/>
      <c r="K9" s="288"/>
    </row>
    <row r="10" spans="1:11" ht="15.75" thickTop="1" x14ac:dyDescent="0.25">
      <c r="A10" s="169">
        <v>2</v>
      </c>
      <c r="B10" s="170" t="s">
        <v>336</v>
      </c>
      <c r="C10" s="213"/>
      <c r="D10" s="176"/>
      <c r="F10" t="s">
        <v>157</v>
      </c>
      <c r="G10" s="62">
        <f>+'7-CLASIFIC CTAS RDOS'!B34</f>
        <v>-19505</v>
      </c>
      <c r="J10" s="289"/>
      <c r="K10" s="288"/>
    </row>
    <row r="11" spans="1:11" x14ac:dyDescent="0.25">
      <c r="A11" s="172">
        <v>2.1</v>
      </c>
      <c r="B11" s="173" t="s">
        <v>372</v>
      </c>
      <c r="C11" s="206">
        <f>-G5-G22-G23</f>
        <v>1087580</v>
      </c>
      <c r="D11" s="173"/>
      <c r="F11" t="s">
        <v>156</v>
      </c>
      <c r="G11" s="62">
        <f>+'7-CLASIFIC CTAS RDOS'!B35</f>
        <v>-23562</v>
      </c>
      <c r="J11" s="289"/>
      <c r="K11" s="288"/>
    </row>
    <row r="12" spans="1:11" x14ac:dyDescent="0.25">
      <c r="A12" s="172">
        <v>2.2000000000000002</v>
      </c>
      <c r="B12" s="173" t="s">
        <v>337</v>
      </c>
      <c r="C12" s="206">
        <f>-G7-G8-G9-G10-G11-G12-G13-G14-G15-G19-G20</f>
        <v>286625</v>
      </c>
      <c r="D12" s="173"/>
      <c r="F12" t="s">
        <v>159</v>
      </c>
      <c r="G12" s="62">
        <f>+'7-CLASIFIC CTAS RDOS'!B37</f>
        <v>-19200</v>
      </c>
      <c r="J12" s="289"/>
      <c r="K12" s="288"/>
    </row>
    <row r="13" spans="1:11" x14ac:dyDescent="0.25">
      <c r="A13" s="172">
        <v>2.2999999999999998</v>
      </c>
      <c r="B13" s="173" t="s">
        <v>338</v>
      </c>
      <c r="C13" s="206">
        <v>0</v>
      </c>
      <c r="D13" s="173"/>
      <c r="F13" t="s">
        <v>160</v>
      </c>
      <c r="G13" s="62">
        <f>+'7-CLASIFIC CTAS RDOS'!B38</f>
        <v>-2863</v>
      </c>
      <c r="J13" s="289"/>
      <c r="K13" s="288"/>
    </row>
    <row r="14" spans="1:11" ht="15.75" thickBot="1" x14ac:dyDescent="0.3">
      <c r="A14" s="172">
        <v>2.4</v>
      </c>
      <c r="B14" s="173" t="s">
        <v>376</v>
      </c>
      <c r="C14" s="209">
        <v>0</v>
      </c>
      <c r="D14" s="174"/>
      <c r="F14" t="s">
        <v>161</v>
      </c>
      <c r="G14" s="62">
        <f>+'7-CLASIFIC CTAS RDOS'!B39</f>
        <v>-31618</v>
      </c>
      <c r="J14" s="289"/>
      <c r="K14" s="288"/>
    </row>
    <row r="15" spans="1:11" ht="16.5" thickTop="1" thickBot="1" x14ac:dyDescent="0.3">
      <c r="A15" s="172"/>
      <c r="B15" s="172" t="s">
        <v>335</v>
      </c>
      <c r="C15" s="221">
        <f>SUM(C11:C14)</f>
        <v>1374205</v>
      </c>
      <c r="D15" s="175"/>
      <c r="F15" t="s">
        <v>163</v>
      </c>
      <c r="G15" s="62">
        <f>+'7-CLASIFIC CTAS RDOS'!B41</f>
        <v>-13656</v>
      </c>
      <c r="J15" s="289"/>
      <c r="K15" s="288"/>
    </row>
    <row r="16" spans="1:11" ht="15.75" thickTop="1" x14ac:dyDescent="0.25">
      <c r="A16" s="169">
        <v>3</v>
      </c>
      <c r="B16" s="170" t="s">
        <v>339</v>
      </c>
      <c r="C16" s="213">
        <f>+C9-C15</f>
        <v>716097</v>
      </c>
      <c r="D16" s="176"/>
      <c r="F16" s="171" t="s">
        <v>170</v>
      </c>
      <c r="G16" s="62">
        <f>+'7-CLASIFIC CTAS RDOS'!B48</f>
        <v>-8950.6</v>
      </c>
      <c r="J16" s="289"/>
      <c r="K16" s="288"/>
    </row>
    <row r="17" spans="1:11" x14ac:dyDescent="0.25">
      <c r="A17" s="169">
        <v>4</v>
      </c>
      <c r="B17" s="170" t="s">
        <v>340</v>
      </c>
      <c r="C17" s="204">
        <f>-G16-G17-G18</f>
        <v>23234.9</v>
      </c>
      <c r="D17" s="170"/>
      <c r="F17" s="171" t="s">
        <v>171</v>
      </c>
      <c r="G17" s="62">
        <f>+'7-CLASIFIC CTAS RDOS'!B49</f>
        <v>-9835.5</v>
      </c>
      <c r="J17" s="289"/>
      <c r="K17" s="288"/>
    </row>
    <row r="18" spans="1:11" x14ac:dyDescent="0.25">
      <c r="A18" s="169">
        <v>5</v>
      </c>
      <c r="B18" s="170" t="s">
        <v>373</v>
      </c>
      <c r="C18" s="204">
        <f>+C16-C17</f>
        <v>692862.1</v>
      </c>
      <c r="D18" s="170"/>
      <c r="F18" s="171" t="s">
        <v>172</v>
      </c>
      <c r="G18" s="62">
        <f>+'7-CLASIFIC CTAS RDOS'!B50</f>
        <v>-4448.8000000000011</v>
      </c>
      <c r="J18" s="289"/>
      <c r="K18" s="288"/>
    </row>
    <row r="19" spans="1:11" x14ac:dyDescent="0.25">
      <c r="A19" s="169">
        <v>6</v>
      </c>
      <c r="B19" s="170" t="s">
        <v>341</v>
      </c>
      <c r="C19" s="204"/>
      <c r="D19" s="170"/>
      <c r="F19" t="s">
        <v>153</v>
      </c>
      <c r="G19" s="62">
        <f>+'7-CLASIFIC CTAS RDOS'!B30</f>
        <v>-27812</v>
      </c>
      <c r="J19" s="289"/>
      <c r="K19" s="288"/>
    </row>
    <row r="20" spans="1:11" x14ac:dyDescent="0.25">
      <c r="A20" s="172">
        <v>6.1</v>
      </c>
      <c r="B20" s="173" t="s">
        <v>342</v>
      </c>
      <c r="C20" s="206"/>
      <c r="D20" s="173"/>
      <c r="F20" t="s">
        <v>158</v>
      </c>
      <c r="G20" s="62">
        <f>+'7-CLASIFIC CTAS RDOS'!B36</f>
        <v>-33000</v>
      </c>
      <c r="J20" s="289"/>
      <c r="K20" s="288"/>
    </row>
    <row r="21" spans="1:11" x14ac:dyDescent="0.25">
      <c r="A21" s="172">
        <v>6.2</v>
      </c>
      <c r="B21" s="173" t="s">
        <v>343</v>
      </c>
      <c r="C21" s="206">
        <f>-G21</f>
        <v>-12974.890500000009</v>
      </c>
      <c r="D21" s="173"/>
      <c r="F21" s="171" t="s">
        <v>150</v>
      </c>
      <c r="G21" s="62">
        <f>+'7-CLASIFIC CTAS RDOS'!B26</f>
        <v>12974.890500000009</v>
      </c>
      <c r="J21" s="289"/>
      <c r="K21" s="288"/>
    </row>
    <row r="22" spans="1:11" ht="15.75" thickBot="1" x14ac:dyDescent="0.3">
      <c r="A22" s="172">
        <v>6.3</v>
      </c>
      <c r="B22" s="173" t="s">
        <v>377</v>
      </c>
      <c r="C22" s="209"/>
      <c r="D22" s="174"/>
      <c r="F22" s="171" t="s">
        <v>151</v>
      </c>
      <c r="G22" s="62">
        <f>+'7-CLASIFIC CTAS RDOS'!B28</f>
        <v>5260</v>
      </c>
      <c r="J22" s="289"/>
      <c r="K22" s="288"/>
    </row>
    <row r="23" spans="1:11" ht="16.5" thickTop="1" thickBot="1" x14ac:dyDescent="0.3">
      <c r="A23" s="172"/>
      <c r="B23" s="172" t="s">
        <v>335</v>
      </c>
      <c r="C23" s="221">
        <f>+C21</f>
        <v>-12974.890500000009</v>
      </c>
      <c r="D23" s="177"/>
      <c r="F23" s="171" t="s">
        <v>4</v>
      </c>
      <c r="G23" s="62">
        <f>+'7-CLASIFIC CTAS RDOS'!B29</f>
        <v>172543.14999999991</v>
      </c>
      <c r="J23" s="289"/>
      <c r="K23" s="288"/>
    </row>
    <row r="24" spans="1:11" ht="15.75" thickTop="1" x14ac:dyDescent="0.25">
      <c r="A24" s="178">
        <v>7</v>
      </c>
      <c r="B24" s="179" t="s">
        <v>345</v>
      </c>
      <c r="C24" s="290">
        <f>+C18-C23</f>
        <v>705836.99049999996</v>
      </c>
      <c r="D24" s="180"/>
      <c r="G24" s="61">
        <f>SUM(G4:G23)</f>
        <v>705836.99049999996</v>
      </c>
      <c r="J24" s="289"/>
      <c r="K24" s="288"/>
    </row>
    <row r="25" spans="1:11" x14ac:dyDescent="0.25">
      <c r="A25" s="169">
        <v>8</v>
      </c>
      <c r="B25" s="170" t="s">
        <v>346</v>
      </c>
      <c r="C25" s="204"/>
      <c r="D25" s="170"/>
      <c r="J25" s="289"/>
      <c r="K25" s="288"/>
    </row>
    <row r="26" spans="1:11" x14ac:dyDescent="0.25">
      <c r="A26" s="172">
        <v>8.1</v>
      </c>
      <c r="B26" s="173" t="s">
        <v>347</v>
      </c>
      <c r="C26" s="206"/>
      <c r="D26" s="173"/>
      <c r="J26" s="289"/>
      <c r="K26" s="288"/>
    </row>
    <row r="27" spans="1:11" x14ac:dyDescent="0.25">
      <c r="A27" s="172" t="s">
        <v>348</v>
      </c>
      <c r="B27" s="173" t="s">
        <v>378</v>
      </c>
      <c r="C27" s="206">
        <f>+G32+G33</f>
        <v>248850</v>
      </c>
      <c r="D27" s="173"/>
      <c r="J27" s="289"/>
      <c r="K27" s="288"/>
    </row>
    <row r="28" spans="1:11" x14ac:dyDescent="0.25">
      <c r="A28" s="172" t="s">
        <v>349</v>
      </c>
      <c r="B28" s="173" t="s">
        <v>350</v>
      </c>
      <c r="C28" s="206">
        <v>0</v>
      </c>
      <c r="D28" s="173"/>
      <c r="F28" s="45" t="s">
        <v>394</v>
      </c>
      <c r="J28" s="289"/>
      <c r="K28" s="288"/>
    </row>
    <row r="29" spans="1:11" ht="15.75" thickBot="1" x14ac:dyDescent="0.3">
      <c r="A29" s="172" t="s">
        <v>351</v>
      </c>
      <c r="B29" s="173" t="s">
        <v>344</v>
      </c>
      <c r="C29" s="209">
        <v>0</v>
      </c>
      <c r="D29" s="174"/>
      <c r="F29" s="93" t="s">
        <v>352</v>
      </c>
      <c r="G29" s="83">
        <f>+'7-CLASIFIC CTAS RDOS'!B54</f>
        <v>178374.61232500005</v>
      </c>
      <c r="H29" t="s">
        <v>322</v>
      </c>
      <c r="I29" t="s">
        <v>322</v>
      </c>
      <c r="J29" s="289"/>
      <c r="K29" s="288"/>
    </row>
    <row r="30" spans="1:11" ht="16.5" thickTop="1" thickBot="1" x14ac:dyDescent="0.3">
      <c r="A30" s="172"/>
      <c r="B30" s="172" t="s">
        <v>335</v>
      </c>
      <c r="C30" s="221">
        <f>SUM(C27:C29)</f>
        <v>248850</v>
      </c>
      <c r="D30" s="192">
        <f>C30/$C$50</f>
        <v>0.35256015673494229</v>
      </c>
      <c r="F30" s="171" t="s">
        <v>173</v>
      </c>
      <c r="G30" s="3">
        <f>-'7-CLASIFIC CTAS RDOS'!B53</f>
        <v>96047.868175000011</v>
      </c>
      <c r="H30" t="s">
        <v>320</v>
      </c>
      <c r="I30" s="3" t="s">
        <v>320</v>
      </c>
      <c r="J30" s="289"/>
      <c r="K30" s="288"/>
    </row>
    <row r="31" spans="1:11" ht="15.75" thickTop="1" x14ac:dyDescent="0.25">
      <c r="A31" s="172">
        <v>8.1999999999999993</v>
      </c>
      <c r="B31" s="173" t="s">
        <v>379</v>
      </c>
      <c r="C31" s="225"/>
      <c r="D31" s="181"/>
      <c r="F31" s="171" t="s">
        <v>152</v>
      </c>
      <c r="G31" s="62">
        <f>-'7-CLASIFIC CTAS RDOS'!B27</f>
        <v>7677.4500000000116</v>
      </c>
      <c r="H31" t="s">
        <v>307</v>
      </c>
      <c r="I31" t="s">
        <v>296</v>
      </c>
      <c r="J31" s="289"/>
      <c r="K31" s="288"/>
    </row>
    <row r="32" spans="1:11" x14ac:dyDescent="0.25">
      <c r="A32" s="172" t="s">
        <v>353</v>
      </c>
      <c r="B32" s="173" t="s">
        <v>354</v>
      </c>
      <c r="C32" s="206">
        <f>+G38</f>
        <v>25000</v>
      </c>
      <c r="D32" s="182"/>
      <c r="F32" s="171" t="s">
        <v>164</v>
      </c>
      <c r="G32" s="62">
        <f>-'7-CLASIFIC CTAS RDOS'!B42</f>
        <v>138250</v>
      </c>
      <c r="H32" t="s">
        <v>318</v>
      </c>
      <c r="I32" t="s">
        <v>313</v>
      </c>
      <c r="J32" s="289"/>
      <c r="K32" s="288"/>
    </row>
    <row r="33" spans="1:11" ht="15.75" thickBot="1" x14ac:dyDescent="0.3">
      <c r="A33" s="172" t="s">
        <v>355</v>
      </c>
      <c r="B33" s="173" t="s">
        <v>344</v>
      </c>
      <c r="C33" s="209">
        <v>0</v>
      </c>
      <c r="D33" s="183"/>
      <c r="F33" s="171" t="s">
        <v>165</v>
      </c>
      <c r="G33" s="62">
        <f>-'7-CLASIFIC CTAS RDOS'!B43</f>
        <v>110600</v>
      </c>
      <c r="H33" t="s">
        <v>318</v>
      </c>
      <c r="I33" t="s">
        <v>312</v>
      </c>
      <c r="J33" s="289"/>
      <c r="K33" s="288"/>
    </row>
    <row r="34" spans="1:11" ht="16.5" thickTop="1" thickBot="1" x14ac:dyDescent="0.3">
      <c r="A34" s="172"/>
      <c r="B34" s="172" t="s">
        <v>335</v>
      </c>
      <c r="C34" s="221">
        <f>SUM(C32:C33)</f>
        <v>25000</v>
      </c>
      <c r="D34" s="192">
        <f>C34/$C$50</f>
        <v>3.5418942810422169E-2</v>
      </c>
      <c r="F34" s="171" t="s">
        <v>167</v>
      </c>
      <c r="G34" s="62">
        <f>-'7-CLASIFIC CTAS RDOS'!B44</f>
        <v>45622.5</v>
      </c>
      <c r="H34" t="s">
        <v>319</v>
      </c>
      <c r="I34" t="s">
        <v>313</v>
      </c>
      <c r="J34" s="289"/>
      <c r="K34" s="288"/>
    </row>
    <row r="35" spans="1:11" ht="15.75" thickTop="1" x14ac:dyDescent="0.25">
      <c r="A35" s="172">
        <v>8.3000000000000007</v>
      </c>
      <c r="B35" s="173" t="s">
        <v>356</v>
      </c>
      <c r="C35" s="225"/>
      <c r="D35" s="181"/>
      <c r="F35" s="171" t="s">
        <v>166</v>
      </c>
      <c r="G35" s="62">
        <f>-'7-CLASIFIC CTAS RDOS'!B45</f>
        <v>36498</v>
      </c>
      <c r="H35" t="s">
        <v>319</v>
      </c>
      <c r="I35" t="s">
        <v>312</v>
      </c>
      <c r="J35" s="289"/>
      <c r="K35" s="288"/>
    </row>
    <row r="36" spans="1:11" x14ac:dyDescent="0.25">
      <c r="A36" s="172" t="s">
        <v>357</v>
      </c>
      <c r="B36" s="173" t="s">
        <v>358</v>
      </c>
      <c r="C36" s="206">
        <f>+G30+G34+G35</f>
        <v>178168.36817500001</v>
      </c>
      <c r="D36" s="182"/>
      <c r="F36" s="171" t="s">
        <v>168</v>
      </c>
      <c r="G36" s="62">
        <f>-'7-CLASIFIC CTAS RDOS'!B46</f>
        <v>62296.56</v>
      </c>
      <c r="H36" t="s">
        <v>320</v>
      </c>
      <c r="I36" t="s">
        <v>312</v>
      </c>
    </row>
    <row r="37" spans="1:11" x14ac:dyDescent="0.25">
      <c r="A37" s="172" t="s">
        <v>359</v>
      </c>
      <c r="B37" s="173" t="s">
        <v>360</v>
      </c>
      <c r="C37" s="206">
        <f>+G36+G37</f>
        <v>67766.559999999998</v>
      </c>
      <c r="D37" s="182"/>
      <c r="F37" s="171" t="s">
        <v>169</v>
      </c>
      <c r="G37" s="62">
        <f>-'7-CLASIFIC CTAS RDOS'!B47</f>
        <v>5470</v>
      </c>
      <c r="H37" t="s">
        <v>320</v>
      </c>
      <c r="I37" t="s">
        <v>313</v>
      </c>
    </row>
    <row r="38" spans="1:11" ht="15.75" thickBot="1" x14ac:dyDescent="0.3">
      <c r="A38" s="172" t="s">
        <v>361</v>
      </c>
      <c r="B38" s="173" t="s">
        <v>362</v>
      </c>
      <c r="C38" s="209">
        <v>0</v>
      </c>
      <c r="D38" s="183"/>
      <c r="F38" s="171" t="s">
        <v>162</v>
      </c>
      <c r="G38" s="62">
        <f>-'7-CLASIFIC CTAS RDOS'!B40</f>
        <v>25000</v>
      </c>
      <c r="H38" t="s">
        <v>316</v>
      </c>
      <c r="I38" t="s">
        <v>313</v>
      </c>
    </row>
    <row r="39" spans="1:11" ht="16.5" thickTop="1" thickBot="1" x14ac:dyDescent="0.3">
      <c r="A39" s="172"/>
      <c r="B39" s="172" t="s">
        <v>335</v>
      </c>
      <c r="C39" s="221">
        <f>SUM(C36:C38)</f>
        <v>245934.92817500001</v>
      </c>
      <c r="D39" s="192">
        <f>C39/$C$50</f>
        <v>0.3484302062446244</v>
      </c>
      <c r="G39" s="61">
        <f>SUM(G29:G38)</f>
        <v>705836.99050000007</v>
      </c>
    </row>
    <row r="40" spans="1:11" ht="15.75" thickTop="1" x14ac:dyDescent="0.25">
      <c r="A40" s="172">
        <v>8.4</v>
      </c>
      <c r="B40" s="173" t="s">
        <v>380</v>
      </c>
      <c r="C40" s="225"/>
      <c r="D40" s="181"/>
    </row>
    <row r="41" spans="1:11" x14ac:dyDescent="0.25">
      <c r="A41" s="172" t="s">
        <v>363</v>
      </c>
      <c r="B41" s="173" t="s">
        <v>364</v>
      </c>
      <c r="C41" s="206">
        <f>+G31</f>
        <v>7677.4500000000116</v>
      </c>
      <c r="D41" s="182"/>
    </row>
    <row r="42" spans="1:11" x14ac:dyDescent="0.25">
      <c r="A42" s="172" t="s">
        <v>365</v>
      </c>
      <c r="B42" s="173" t="s">
        <v>366</v>
      </c>
      <c r="C42" s="206">
        <v>0</v>
      </c>
      <c r="D42" s="182"/>
    </row>
    <row r="43" spans="1:11" ht="15.75" thickBot="1" x14ac:dyDescent="0.3">
      <c r="A43" s="172" t="s">
        <v>367</v>
      </c>
      <c r="B43" s="173" t="s">
        <v>344</v>
      </c>
      <c r="C43" s="209">
        <v>0</v>
      </c>
      <c r="D43" s="183"/>
    </row>
    <row r="44" spans="1:11" ht="16.5" thickTop="1" thickBot="1" x14ac:dyDescent="0.3">
      <c r="A44" s="172"/>
      <c r="B44" s="172" t="s">
        <v>335</v>
      </c>
      <c r="C44" s="221">
        <f>SUM(C41:C43)</f>
        <v>7677.4500000000116</v>
      </c>
      <c r="D44" s="192">
        <f>C44/$C$50</f>
        <v>1.0877086499195044E-2</v>
      </c>
    </row>
    <row r="45" spans="1:11" ht="15.75" thickTop="1" x14ac:dyDescent="0.25">
      <c r="A45" s="172">
        <v>8.5</v>
      </c>
      <c r="B45" s="173" t="s">
        <v>368</v>
      </c>
      <c r="C45" s="225"/>
      <c r="D45" s="181"/>
    </row>
    <row r="46" spans="1:11" x14ac:dyDescent="0.25">
      <c r="A46" s="172" t="s">
        <v>369</v>
      </c>
      <c r="B46" s="173" t="s">
        <v>381</v>
      </c>
      <c r="C46" s="206">
        <f>+G29</f>
        <v>178374.61232500005</v>
      </c>
      <c r="D46" s="182"/>
    </row>
    <row r="47" spans="1:11" x14ac:dyDescent="0.25">
      <c r="A47" s="172" t="s">
        <v>370</v>
      </c>
      <c r="B47" s="173" t="s">
        <v>382</v>
      </c>
      <c r="C47" s="206">
        <v>0</v>
      </c>
      <c r="D47" s="182"/>
    </row>
    <row r="48" spans="1:11" ht="15.75" thickBot="1" x14ac:dyDescent="0.3">
      <c r="A48" s="172">
        <v>8.6</v>
      </c>
      <c r="B48" s="173" t="s">
        <v>344</v>
      </c>
      <c r="C48" s="209">
        <v>0</v>
      </c>
      <c r="D48" s="183"/>
    </row>
    <row r="49" spans="1:4" ht="16.5" thickTop="1" thickBot="1" x14ac:dyDescent="0.3">
      <c r="A49" s="172"/>
      <c r="B49" s="172" t="s">
        <v>335</v>
      </c>
      <c r="C49" s="221">
        <f>SUM(C45:C48)</f>
        <v>178374.61232500005</v>
      </c>
      <c r="D49" s="192">
        <f>C49/$C$50</f>
        <v>0.25271360771081608</v>
      </c>
    </row>
    <row r="50" spans="1:4" ht="16.5" thickTop="1" thickBot="1" x14ac:dyDescent="0.3">
      <c r="A50" s="178"/>
      <c r="B50" s="179" t="s">
        <v>383</v>
      </c>
      <c r="C50" s="291">
        <f>+C30+C34+C39+C44+C49</f>
        <v>705836.99050000007</v>
      </c>
      <c r="D50" s="192">
        <f>C50/$C$50</f>
        <v>1</v>
      </c>
    </row>
    <row r="51" spans="1:4" ht="15.75" thickTop="1" x14ac:dyDescent="0.25"/>
    <row r="53" spans="1:4" x14ac:dyDescent="0.25">
      <c r="B53" t="s">
        <v>347</v>
      </c>
      <c r="C53" s="197">
        <f>+D30</f>
        <v>0.35256015673494229</v>
      </c>
    </row>
    <row r="54" spans="1:4" x14ac:dyDescent="0.25">
      <c r="B54" t="s">
        <v>384</v>
      </c>
      <c r="C54" s="197">
        <f>+D34</f>
        <v>3.5418942810422169E-2</v>
      </c>
    </row>
    <row r="55" spans="1:4" x14ac:dyDescent="0.25">
      <c r="B55" t="s">
        <v>356</v>
      </c>
      <c r="C55" s="197">
        <f>+D39</f>
        <v>0.3484302062446244</v>
      </c>
    </row>
    <row r="56" spans="1:4" x14ac:dyDescent="0.25">
      <c r="B56" t="s">
        <v>380</v>
      </c>
      <c r="C56" s="197">
        <f>+D44</f>
        <v>1.0877086499195044E-2</v>
      </c>
    </row>
    <row r="57" spans="1:4" x14ac:dyDescent="0.25">
      <c r="B57" t="s">
        <v>368</v>
      </c>
      <c r="C57" s="197">
        <f>+D49</f>
        <v>0.25271360771081608</v>
      </c>
    </row>
    <row r="58" spans="1:4" x14ac:dyDescent="0.25">
      <c r="C58" s="197"/>
    </row>
  </sheetData>
  <sheetProtection sheet="1" objects="1" scenarios="1"/>
  <pageMargins left="0.31496062992125984" right="0.11811023622047245" top="0.74803149606299213" bottom="0.74803149606299213" header="0.31496062992125984" footer="0.31496062992125984"/>
  <pageSetup paperSize="9" scale="79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6"/>
  <sheetViews>
    <sheetView workbookViewId="0"/>
  </sheetViews>
  <sheetFormatPr baseColWidth="10" defaultRowHeight="15" x14ac:dyDescent="0.25"/>
  <cols>
    <col min="1" max="1" width="5.140625" bestFit="1" customWidth="1"/>
    <col min="2" max="2" width="63.5703125" bestFit="1" customWidth="1"/>
    <col min="3" max="3" width="11.7109375" bestFit="1" customWidth="1"/>
    <col min="4" max="4" width="12.42578125" style="197" bestFit="1" customWidth="1"/>
    <col min="5" max="5" width="3.140625" customWidth="1"/>
    <col min="6" max="6" width="21.85546875" bestFit="1" customWidth="1"/>
    <col min="7" max="7" width="12.42578125" bestFit="1" customWidth="1"/>
    <col min="9" max="9" width="7" bestFit="1" customWidth="1"/>
    <col min="10" max="10" width="2" bestFit="1" customWidth="1"/>
    <col min="12" max="12" width="12.42578125" bestFit="1" customWidth="1"/>
    <col min="14" max="14" width="7" bestFit="1" customWidth="1"/>
    <col min="15" max="15" width="2.140625" bestFit="1" customWidth="1"/>
  </cols>
  <sheetData>
    <row r="1" spans="1:10" x14ac:dyDescent="0.25">
      <c r="A1" s="163"/>
      <c r="B1" s="164"/>
      <c r="C1" s="164"/>
      <c r="D1" s="186"/>
    </row>
    <row r="2" spans="1:10" x14ac:dyDescent="0.25">
      <c r="A2" s="165"/>
      <c r="B2" s="166" t="s">
        <v>327</v>
      </c>
      <c r="C2" s="166" t="s">
        <v>328</v>
      </c>
      <c r="D2" s="187" t="s">
        <v>329</v>
      </c>
    </row>
    <row r="3" spans="1:10" x14ac:dyDescent="0.25">
      <c r="A3" s="167"/>
      <c r="B3" s="168"/>
      <c r="C3" s="168" t="s">
        <v>330</v>
      </c>
      <c r="D3" s="188" t="s">
        <v>331</v>
      </c>
      <c r="F3" s="45" t="s">
        <v>394</v>
      </c>
    </row>
    <row r="4" spans="1:10" x14ac:dyDescent="0.25">
      <c r="A4" s="169">
        <v>1</v>
      </c>
      <c r="B4" s="170" t="s">
        <v>332</v>
      </c>
      <c r="C4" s="170"/>
      <c r="D4" s="189"/>
      <c r="F4" t="s">
        <v>79</v>
      </c>
      <c r="G4" s="184">
        <f>+'7-CLASIFIC CTAS RDOS'!C23</f>
        <v>2277689.67</v>
      </c>
      <c r="J4" t="s">
        <v>304</v>
      </c>
    </row>
    <row r="5" spans="1:10" x14ac:dyDescent="0.25">
      <c r="A5" s="172">
        <v>1.1000000000000001</v>
      </c>
      <c r="B5" s="173" t="s">
        <v>374</v>
      </c>
      <c r="C5" s="206">
        <f>+G4</f>
        <v>2277689.67</v>
      </c>
      <c r="D5" s="190"/>
      <c r="F5" s="44" t="s">
        <v>178</v>
      </c>
      <c r="G5" s="184">
        <f>+'7-CLASIFIC CTAS RDOS'!C24</f>
        <v>-1265383.1499999999</v>
      </c>
      <c r="J5" t="s">
        <v>304</v>
      </c>
    </row>
    <row r="6" spans="1:10" x14ac:dyDescent="0.25">
      <c r="A6" s="172">
        <v>1.2</v>
      </c>
      <c r="B6" s="173" t="s">
        <v>333</v>
      </c>
      <c r="C6" s="206">
        <f>+G6</f>
        <v>-5812.5</v>
      </c>
      <c r="D6" s="190"/>
      <c r="F6" s="44" t="s">
        <v>149</v>
      </c>
      <c r="G6" s="184">
        <f>+'7-CLASIFIC CTAS RDOS'!C25</f>
        <v>-5812.5</v>
      </c>
      <c r="H6" t="s">
        <v>305</v>
      </c>
      <c r="I6" t="s">
        <v>296</v>
      </c>
      <c r="J6" t="s">
        <v>304</v>
      </c>
    </row>
    <row r="7" spans="1:10" x14ac:dyDescent="0.25">
      <c r="A7" s="172">
        <v>1.3</v>
      </c>
      <c r="B7" s="173" t="s">
        <v>375</v>
      </c>
      <c r="C7" s="206"/>
      <c r="D7" s="190"/>
      <c r="F7" t="s">
        <v>150</v>
      </c>
      <c r="G7" s="184">
        <f>+'7-CLASIFIC CTAS RDOS'!C26</f>
        <v>6541.0604999999923</v>
      </c>
      <c r="H7" t="s">
        <v>306</v>
      </c>
      <c r="I7" t="s">
        <v>296</v>
      </c>
      <c r="J7" t="s">
        <v>304</v>
      </c>
    </row>
    <row r="8" spans="1:10" ht="15.75" thickBot="1" x14ac:dyDescent="0.3">
      <c r="A8" s="172">
        <v>1.4</v>
      </c>
      <c r="B8" s="173" t="s">
        <v>334</v>
      </c>
      <c r="C8" s="209"/>
      <c r="D8" s="191"/>
      <c r="F8" t="s">
        <v>151</v>
      </c>
      <c r="G8" s="184">
        <f>+'7-CLASIFIC CTAS RDOS'!C28</f>
        <v>797.5</v>
      </c>
      <c r="H8" t="s">
        <v>309</v>
      </c>
      <c r="I8" t="s">
        <v>296</v>
      </c>
      <c r="J8" t="s">
        <v>304</v>
      </c>
    </row>
    <row r="9" spans="1:10" ht="16.5" thickTop="1" thickBot="1" x14ac:dyDescent="0.3">
      <c r="A9" s="172"/>
      <c r="B9" s="172" t="s">
        <v>335</v>
      </c>
      <c r="C9" s="221">
        <f>SUM(C5:C8)</f>
        <v>2271877.17</v>
      </c>
      <c r="D9" s="192"/>
      <c r="F9" t="s">
        <v>4</v>
      </c>
      <c r="G9" s="184">
        <f>+'7-CLASIFIC CTAS RDOS'!C29</f>
        <v>8971.6499999999069</v>
      </c>
      <c r="H9" t="s">
        <v>310</v>
      </c>
      <c r="I9" t="s">
        <v>296</v>
      </c>
      <c r="J9" t="s">
        <v>304</v>
      </c>
    </row>
    <row r="10" spans="1:10" ht="15.75" thickTop="1" x14ac:dyDescent="0.25">
      <c r="A10" s="169">
        <v>2</v>
      </c>
      <c r="B10" s="170" t="s">
        <v>336</v>
      </c>
      <c r="C10" s="213"/>
      <c r="D10" s="193"/>
      <c r="F10" t="s">
        <v>153</v>
      </c>
      <c r="G10" s="62">
        <f>+'7-CLASIFIC CTAS RDOS'!C30</f>
        <v>-30673.49</v>
      </c>
      <c r="H10" t="s">
        <v>311</v>
      </c>
      <c r="I10" t="s">
        <v>312</v>
      </c>
      <c r="J10" t="s">
        <v>304</v>
      </c>
    </row>
    <row r="11" spans="1:10" x14ac:dyDescent="0.25">
      <c r="A11" s="172">
        <v>2.1</v>
      </c>
      <c r="B11" s="173" t="s">
        <v>372</v>
      </c>
      <c r="C11" s="206">
        <f>-G5-G8-G9</f>
        <v>1255614</v>
      </c>
      <c r="D11" s="190"/>
      <c r="F11" t="s">
        <v>146</v>
      </c>
      <c r="G11" s="62">
        <f>+'7-CLASIFIC CTAS RDOS'!C31</f>
        <v>-111696</v>
      </c>
      <c r="H11" t="s">
        <v>311</v>
      </c>
      <c r="I11" t="s">
        <v>313</v>
      </c>
      <c r="J11" t="s">
        <v>304</v>
      </c>
    </row>
    <row r="12" spans="1:10" x14ac:dyDescent="0.25">
      <c r="A12" s="172">
        <v>2.2000000000000002</v>
      </c>
      <c r="B12" s="173" t="s">
        <v>337</v>
      </c>
      <c r="C12" s="206">
        <f>-G10-G11-G13-G14-G15-G16-G17-G18-G19-G20-G12</f>
        <v>319397.66000000003</v>
      </c>
      <c r="D12" s="190"/>
      <c r="F12" t="s">
        <v>154</v>
      </c>
      <c r="G12" s="62">
        <f>+'7-CLASIFIC CTAS RDOS'!C32</f>
        <v>-2123.6999999999998</v>
      </c>
      <c r="H12" t="s">
        <v>311</v>
      </c>
      <c r="I12" t="s">
        <v>313</v>
      </c>
      <c r="J12" s="3" t="s">
        <v>304</v>
      </c>
    </row>
    <row r="13" spans="1:10" x14ac:dyDescent="0.25">
      <c r="A13" s="172">
        <v>2.2999999999999998</v>
      </c>
      <c r="B13" s="173" t="s">
        <v>338</v>
      </c>
      <c r="C13" s="206">
        <v>0</v>
      </c>
      <c r="D13" s="190"/>
      <c r="F13" t="s">
        <v>155</v>
      </c>
      <c r="G13" s="62">
        <f>+'7-CLASIFIC CTAS RDOS'!C33</f>
        <v>-15607.47</v>
      </c>
      <c r="H13" t="s">
        <v>314</v>
      </c>
      <c r="I13" t="s">
        <v>313</v>
      </c>
      <c r="J13" s="3" t="s">
        <v>304</v>
      </c>
    </row>
    <row r="14" spans="1:10" ht="15.75" thickBot="1" x14ac:dyDescent="0.3">
      <c r="A14" s="172">
        <v>2.4</v>
      </c>
      <c r="B14" s="173" t="s">
        <v>376</v>
      </c>
      <c r="C14" s="209">
        <f>-G24</f>
        <v>68109.356400000004</v>
      </c>
      <c r="D14" s="191"/>
      <c r="F14" t="s">
        <v>157</v>
      </c>
      <c r="G14" s="62">
        <f>+'7-CLASIFIC CTAS RDOS'!C34</f>
        <v>-21979.089999999997</v>
      </c>
      <c r="H14" t="s">
        <v>314</v>
      </c>
      <c r="I14" t="s">
        <v>313</v>
      </c>
      <c r="J14" t="s">
        <v>304</v>
      </c>
    </row>
    <row r="15" spans="1:10" ht="16.5" thickTop="1" thickBot="1" x14ac:dyDescent="0.3">
      <c r="A15" s="172"/>
      <c r="B15" s="172" t="s">
        <v>335</v>
      </c>
      <c r="C15" s="221">
        <f>SUM(C11:C14)</f>
        <v>1643121.0164000001</v>
      </c>
      <c r="D15" s="192"/>
      <c r="F15" t="s">
        <v>156</v>
      </c>
      <c r="G15" s="62">
        <f>+'7-CLASIFIC CTAS RDOS'!C35</f>
        <v>-25935.670000000002</v>
      </c>
      <c r="H15" t="s">
        <v>314</v>
      </c>
      <c r="I15" t="s">
        <v>313</v>
      </c>
      <c r="J15" t="s">
        <v>304</v>
      </c>
    </row>
    <row r="16" spans="1:10" ht="15.75" thickTop="1" x14ac:dyDescent="0.25">
      <c r="A16" s="169">
        <v>3</v>
      </c>
      <c r="B16" s="170" t="s">
        <v>339</v>
      </c>
      <c r="C16" s="213">
        <f>+C9-C15</f>
        <v>628756.15359999985</v>
      </c>
      <c r="D16" s="193"/>
      <c r="F16" t="s">
        <v>158</v>
      </c>
      <c r="G16" s="62">
        <f>+'7-CLASIFIC CTAS RDOS'!C36</f>
        <v>-36980</v>
      </c>
      <c r="H16" t="s">
        <v>311</v>
      </c>
      <c r="I16" t="s">
        <v>312</v>
      </c>
      <c r="J16" t="s">
        <v>304</v>
      </c>
    </row>
    <row r="17" spans="1:12" x14ac:dyDescent="0.25">
      <c r="A17" s="169">
        <v>4</v>
      </c>
      <c r="B17" s="170" t="s">
        <v>340</v>
      </c>
      <c r="C17" s="204">
        <f>-G21-G22-G23</f>
        <v>29043.625</v>
      </c>
      <c r="D17" s="189"/>
      <c r="F17" t="s">
        <v>159</v>
      </c>
      <c r="G17" s="62">
        <f>+'7-CLASIFIC CTAS RDOS'!C37</f>
        <v>-21259</v>
      </c>
      <c r="H17" t="s">
        <v>311</v>
      </c>
      <c r="I17" t="s">
        <v>313</v>
      </c>
      <c r="J17" t="s">
        <v>304</v>
      </c>
    </row>
    <row r="18" spans="1:12" x14ac:dyDescent="0.25">
      <c r="A18" s="169">
        <v>5</v>
      </c>
      <c r="B18" s="170" t="s">
        <v>373</v>
      </c>
      <c r="C18" s="204">
        <f>+C16-C17</f>
        <v>599712.52859999985</v>
      </c>
      <c r="D18" s="189"/>
      <c r="F18" t="s">
        <v>160</v>
      </c>
      <c r="G18" s="62">
        <f>+'7-CLASIFIC CTAS RDOS'!C38</f>
        <v>-3169.03</v>
      </c>
      <c r="H18" t="s">
        <v>315</v>
      </c>
      <c r="I18" t="s">
        <v>313</v>
      </c>
      <c r="J18" t="s">
        <v>304</v>
      </c>
    </row>
    <row r="19" spans="1:12" x14ac:dyDescent="0.25">
      <c r="A19" s="169">
        <v>6</v>
      </c>
      <c r="B19" s="170" t="s">
        <v>341</v>
      </c>
      <c r="C19" s="204"/>
      <c r="D19" s="189"/>
      <c r="F19" t="s">
        <v>161</v>
      </c>
      <c r="G19" s="62">
        <f>+'7-CLASIFIC CTAS RDOS'!C39</f>
        <v>-34911.379999999997</v>
      </c>
      <c r="H19" s="3" t="s">
        <v>315</v>
      </c>
      <c r="I19" t="s">
        <v>313</v>
      </c>
      <c r="J19" t="s">
        <v>304</v>
      </c>
    </row>
    <row r="20" spans="1:12" x14ac:dyDescent="0.25">
      <c r="A20" s="172">
        <v>6.1</v>
      </c>
      <c r="B20" s="173" t="s">
        <v>342</v>
      </c>
      <c r="C20" s="206"/>
      <c r="D20" s="190"/>
      <c r="F20" t="s">
        <v>163</v>
      </c>
      <c r="G20" s="62">
        <f>+'7-CLASIFIC CTAS RDOS'!C41</f>
        <v>-15062.83</v>
      </c>
      <c r="H20" t="s">
        <v>317</v>
      </c>
      <c r="I20" t="s">
        <v>313</v>
      </c>
      <c r="J20" t="s">
        <v>304</v>
      </c>
    </row>
    <row r="21" spans="1:12" x14ac:dyDescent="0.25">
      <c r="A21" s="172">
        <v>6.2</v>
      </c>
      <c r="B21" s="173" t="s">
        <v>343</v>
      </c>
      <c r="C21" s="206">
        <f>-G7</f>
        <v>-6541.0604999999923</v>
      </c>
      <c r="D21" s="190"/>
      <c r="F21" t="s">
        <v>170</v>
      </c>
      <c r="G21" s="184">
        <f>+'7-CLASIFIC CTAS RDOS'!C48</f>
        <v>-11188.25</v>
      </c>
      <c r="H21" t="s">
        <v>321</v>
      </c>
      <c r="I21" t="s">
        <v>313</v>
      </c>
      <c r="J21" t="s">
        <v>304</v>
      </c>
    </row>
    <row r="22" spans="1:12" ht="15.75" thickBot="1" x14ac:dyDescent="0.3">
      <c r="A22" s="172">
        <v>6.3</v>
      </c>
      <c r="B22" s="173" t="s">
        <v>377</v>
      </c>
      <c r="C22" s="209"/>
      <c r="D22" s="191"/>
      <c r="F22" t="s">
        <v>171</v>
      </c>
      <c r="G22" s="184">
        <f>+'7-CLASIFIC CTAS RDOS'!C49</f>
        <v>-12294.375</v>
      </c>
      <c r="H22" t="s">
        <v>321</v>
      </c>
      <c r="I22" t="s">
        <v>313</v>
      </c>
      <c r="J22" t="s">
        <v>304</v>
      </c>
    </row>
    <row r="23" spans="1:12" ht="16.5" thickTop="1" thickBot="1" x14ac:dyDescent="0.3">
      <c r="A23" s="172"/>
      <c r="B23" s="172" t="s">
        <v>335</v>
      </c>
      <c r="C23" s="221">
        <f>+C21</f>
        <v>-6541.0604999999923</v>
      </c>
      <c r="D23" s="194"/>
      <c r="F23" t="s">
        <v>172</v>
      </c>
      <c r="G23" s="184">
        <f>+'7-CLASIFIC CTAS RDOS'!C50</f>
        <v>-5561.0000000000018</v>
      </c>
      <c r="H23" t="s">
        <v>321</v>
      </c>
      <c r="I23" t="s">
        <v>313</v>
      </c>
      <c r="J23" t="s">
        <v>304</v>
      </c>
    </row>
    <row r="24" spans="1:12" ht="15.75" thickTop="1" x14ac:dyDescent="0.25">
      <c r="A24" s="178">
        <v>7</v>
      </c>
      <c r="B24" s="179" t="s">
        <v>345</v>
      </c>
      <c r="C24" s="290">
        <f>+C18-C23</f>
        <v>606253.58909999987</v>
      </c>
      <c r="D24" s="195"/>
      <c r="F24" t="s">
        <v>257</v>
      </c>
      <c r="G24" s="184">
        <f>+'7-CLASIFIC CTAS RDOS'!C51</f>
        <v>-68109.356400000004</v>
      </c>
      <c r="H24" t="s">
        <v>296</v>
      </c>
      <c r="I24" t="s">
        <v>296</v>
      </c>
      <c r="J24" t="s">
        <v>304</v>
      </c>
    </row>
    <row r="25" spans="1:12" x14ac:dyDescent="0.25">
      <c r="A25" s="169">
        <v>8</v>
      </c>
      <c r="B25" s="170" t="s">
        <v>346</v>
      </c>
      <c r="C25" s="204"/>
      <c r="D25" s="189"/>
    </row>
    <row r="26" spans="1:12" x14ac:dyDescent="0.25">
      <c r="A26" s="172">
        <v>8.1</v>
      </c>
      <c r="B26" s="173" t="s">
        <v>347</v>
      </c>
      <c r="C26" s="206"/>
      <c r="D26" s="190"/>
      <c r="L26" s="3"/>
    </row>
    <row r="27" spans="1:12" x14ac:dyDescent="0.25">
      <c r="A27" s="172" t="s">
        <v>348</v>
      </c>
      <c r="B27" s="173" t="s">
        <v>378</v>
      </c>
      <c r="C27" s="206">
        <f>+G31+G32</f>
        <v>274464</v>
      </c>
      <c r="D27" s="190"/>
      <c r="G27" s="3">
        <f>SUM(G4:G26)</f>
        <v>606253.58909999998</v>
      </c>
      <c r="L27" s="3"/>
    </row>
    <row r="28" spans="1:12" x14ac:dyDescent="0.25">
      <c r="A28" s="172" t="s">
        <v>349</v>
      </c>
      <c r="B28" s="173" t="s">
        <v>350</v>
      </c>
      <c r="C28" s="206">
        <v>0</v>
      </c>
      <c r="D28" s="190"/>
      <c r="F28" s="45" t="s">
        <v>393</v>
      </c>
      <c r="L28" s="185"/>
    </row>
    <row r="29" spans="1:12" ht="15.75" thickBot="1" x14ac:dyDescent="0.3">
      <c r="A29" s="172" t="s">
        <v>351</v>
      </c>
      <c r="B29" s="173" t="s">
        <v>344</v>
      </c>
      <c r="C29" s="209">
        <v>0</v>
      </c>
      <c r="D29" s="191"/>
      <c r="F29" s="93" t="s">
        <v>174</v>
      </c>
      <c r="G29" s="61">
        <f>+'7-CLASIFIC CTAS RDOS'!C54</f>
        <v>85317.216075000018</v>
      </c>
      <c r="H29" t="s">
        <v>322</v>
      </c>
      <c r="I29" t="s">
        <v>322</v>
      </c>
      <c r="J29" t="s">
        <v>308</v>
      </c>
    </row>
    <row r="30" spans="1:12" ht="16.5" thickTop="1" thickBot="1" x14ac:dyDescent="0.3">
      <c r="A30" s="172"/>
      <c r="B30" s="172" t="s">
        <v>335</v>
      </c>
      <c r="C30" s="221">
        <f>SUM(C27:C29)</f>
        <v>274464</v>
      </c>
      <c r="D30" s="192">
        <f>C30/$C$50</f>
        <v>0.45272144352571875</v>
      </c>
      <c r="F30" s="171" t="s">
        <v>162</v>
      </c>
      <c r="G30" s="62">
        <f>-'7-CLASIFIC CTAS RDOS'!C40</f>
        <v>27675</v>
      </c>
      <c r="H30" t="s">
        <v>316</v>
      </c>
      <c r="I30" t="s">
        <v>313</v>
      </c>
      <c r="J30" t="s">
        <v>308</v>
      </c>
    </row>
    <row r="31" spans="1:12" ht="15.75" thickTop="1" x14ac:dyDescent="0.25">
      <c r="A31" s="172">
        <v>8.1999999999999993</v>
      </c>
      <c r="B31" s="173" t="s">
        <v>379</v>
      </c>
      <c r="C31" s="225"/>
      <c r="D31" s="196"/>
      <c r="F31" s="171" t="s">
        <v>164</v>
      </c>
      <c r="G31" s="62">
        <f>-'7-CLASIFIC CTAS RDOS'!C42</f>
        <v>152480</v>
      </c>
      <c r="H31" t="s">
        <v>318</v>
      </c>
      <c r="I31" t="s">
        <v>313</v>
      </c>
      <c r="J31" t="s">
        <v>308</v>
      </c>
    </row>
    <row r="32" spans="1:12" x14ac:dyDescent="0.25">
      <c r="A32" s="172" t="s">
        <v>353</v>
      </c>
      <c r="B32" s="173" t="s">
        <v>354</v>
      </c>
      <c r="C32" s="206">
        <f>+G30</f>
        <v>27675</v>
      </c>
      <c r="D32" s="190"/>
      <c r="F32" s="171" t="s">
        <v>165</v>
      </c>
      <c r="G32" s="62">
        <f>-'7-CLASIFIC CTAS RDOS'!C43</f>
        <v>121984</v>
      </c>
      <c r="H32" t="s">
        <v>318</v>
      </c>
      <c r="I32" t="s">
        <v>312</v>
      </c>
      <c r="J32" t="s">
        <v>308</v>
      </c>
    </row>
    <row r="33" spans="1:12" ht="15.75" thickBot="1" x14ac:dyDescent="0.3">
      <c r="A33" s="172" t="s">
        <v>355</v>
      </c>
      <c r="B33" s="173" t="s">
        <v>344</v>
      </c>
      <c r="C33" s="209">
        <v>0</v>
      </c>
      <c r="D33" s="191"/>
      <c r="F33" s="171" t="s">
        <v>167</v>
      </c>
      <c r="G33" s="62">
        <f>-'7-CLASIFIC CTAS RDOS'!C44</f>
        <v>50318.399999999994</v>
      </c>
      <c r="H33" t="s">
        <v>319</v>
      </c>
      <c r="I33" t="s">
        <v>313</v>
      </c>
      <c r="J33" t="s">
        <v>308</v>
      </c>
    </row>
    <row r="34" spans="1:12" ht="16.5" thickTop="1" thickBot="1" x14ac:dyDescent="0.3">
      <c r="A34" s="172"/>
      <c r="B34" s="172" t="s">
        <v>335</v>
      </c>
      <c r="C34" s="221">
        <f>SUM(C32:C33)</f>
        <v>27675</v>
      </c>
      <c r="D34" s="192">
        <f>C34/$C$50</f>
        <v>4.5649214285204132E-2</v>
      </c>
      <c r="F34" s="171" t="s">
        <v>166</v>
      </c>
      <c r="G34" s="62">
        <f>-'7-CLASIFIC CTAS RDOS'!C45</f>
        <v>40254.720000000001</v>
      </c>
      <c r="H34" t="s">
        <v>319</v>
      </c>
      <c r="I34" t="s">
        <v>312</v>
      </c>
      <c r="J34" t="s">
        <v>308</v>
      </c>
    </row>
    <row r="35" spans="1:12" ht="15.75" thickTop="1" x14ac:dyDescent="0.25">
      <c r="A35" s="172">
        <v>8.3000000000000007</v>
      </c>
      <c r="B35" s="173" t="s">
        <v>356</v>
      </c>
      <c r="C35" s="225"/>
      <c r="D35" s="196"/>
      <c r="F35" s="171" t="s">
        <v>168</v>
      </c>
      <c r="G35" s="62">
        <f>-'7-CLASIFIC CTAS RDOS'!C46</f>
        <v>68330.690100000007</v>
      </c>
      <c r="H35" t="s">
        <v>320</v>
      </c>
      <c r="I35" t="s">
        <v>312</v>
      </c>
      <c r="J35" t="s">
        <v>308</v>
      </c>
      <c r="L35" s="3"/>
    </row>
    <row r="36" spans="1:12" x14ac:dyDescent="0.25">
      <c r="A36" s="172" t="s">
        <v>357</v>
      </c>
      <c r="B36" s="173" t="s">
        <v>358</v>
      </c>
      <c r="C36" s="206">
        <f>+G37+G34+G33</f>
        <v>136513.15942500002</v>
      </c>
      <c r="D36" s="190"/>
      <c r="F36" s="171" t="s">
        <v>169</v>
      </c>
      <c r="G36" s="62">
        <f>-'7-CLASIFIC CTAS RDOS'!C47</f>
        <v>6045.7500000000009</v>
      </c>
      <c r="H36" t="s">
        <v>320</v>
      </c>
      <c r="I36" t="s">
        <v>313</v>
      </c>
      <c r="J36" t="s">
        <v>308</v>
      </c>
      <c r="L36" s="185"/>
    </row>
    <row r="37" spans="1:12" x14ac:dyDescent="0.25">
      <c r="A37" s="172" t="s">
        <v>359</v>
      </c>
      <c r="B37" s="173" t="s">
        <v>360</v>
      </c>
      <c r="C37" s="206">
        <f>+G35+G36</f>
        <v>74376.440100000007</v>
      </c>
      <c r="D37" s="190"/>
      <c r="F37" s="171" t="s">
        <v>173</v>
      </c>
      <c r="G37" s="71">
        <f>-'7-CLASIFIC CTAS RDOS'!C53</f>
        <v>45940.03942500001</v>
      </c>
      <c r="H37" t="s">
        <v>320</v>
      </c>
      <c r="I37" s="3" t="s">
        <v>320</v>
      </c>
      <c r="J37" t="s">
        <v>308</v>
      </c>
    </row>
    <row r="38" spans="1:12" ht="15.75" thickBot="1" x14ac:dyDescent="0.3">
      <c r="A38" s="172" t="s">
        <v>361</v>
      </c>
      <c r="B38" s="173" t="s">
        <v>362</v>
      </c>
      <c r="C38" s="209">
        <v>0</v>
      </c>
      <c r="D38" s="191"/>
      <c r="F38" s="171" t="s">
        <v>152</v>
      </c>
      <c r="G38" s="62">
        <f>-'7-CLASIFIC CTAS RDOS'!C27</f>
        <v>7907.7735000000102</v>
      </c>
      <c r="H38" t="s">
        <v>307</v>
      </c>
      <c r="I38" t="s">
        <v>296</v>
      </c>
      <c r="J38" t="s">
        <v>308</v>
      </c>
    </row>
    <row r="39" spans="1:12" ht="16.5" thickTop="1" thickBot="1" x14ac:dyDescent="0.3">
      <c r="A39" s="172"/>
      <c r="B39" s="172" t="s">
        <v>335</v>
      </c>
      <c r="C39" s="221">
        <f>SUM(C36:C38)</f>
        <v>210889.59952500003</v>
      </c>
      <c r="D39" s="192">
        <f>C39/$C$50</f>
        <v>0.34785707386585762</v>
      </c>
    </row>
    <row r="40" spans="1:12" ht="15.75" thickTop="1" x14ac:dyDescent="0.25">
      <c r="A40" s="172">
        <v>8.4</v>
      </c>
      <c r="B40" s="173" t="s">
        <v>380</v>
      </c>
      <c r="C40" s="225"/>
      <c r="D40" s="196"/>
      <c r="G40" s="3">
        <f>SUM(G29:G39)</f>
        <v>606253.58909999998</v>
      </c>
    </row>
    <row r="41" spans="1:12" x14ac:dyDescent="0.25">
      <c r="A41" s="172" t="s">
        <v>363</v>
      </c>
      <c r="B41" s="173" t="s">
        <v>364</v>
      </c>
      <c r="C41" s="206">
        <f>+G38</f>
        <v>7907.7735000000102</v>
      </c>
      <c r="D41" s="190"/>
    </row>
    <row r="42" spans="1:12" x14ac:dyDescent="0.25">
      <c r="A42" s="172" t="s">
        <v>365</v>
      </c>
      <c r="B42" s="173" t="s">
        <v>366</v>
      </c>
      <c r="C42" s="206">
        <v>0</v>
      </c>
      <c r="D42" s="190"/>
      <c r="G42" s="57">
        <f>+G27-G40</f>
        <v>0</v>
      </c>
    </row>
    <row r="43" spans="1:12" ht="15.75" thickBot="1" x14ac:dyDescent="0.3">
      <c r="A43" s="172" t="s">
        <v>367</v>
      </c>
      <c r="B43" s="173" t="s">
        <v>344</v>
      </c>
      <c r="C43" s="209">
        <v>0</v>
      </c>
      <c r="D43" s="191"/>
    </row>
    <row r="44" spans="1:12" ht="16.5" thickTop="1" thickBot="1" x14ac:dyDescent="0.3">
      <c r="A44" s="172"/>
      <c r="B44" s="172" t="s">
        <v>335</v>
      </c>
      <c r="C44" s="221">
        <f>SUM(C41:C43)</f>
        <v>7907.7735000000102</v>
      </c>
      <c r="D44" s="192">
        <f>C44/$C$50</f>
        <v>1.3043672882397802E-2</v>
      </c>
    </row>
    <row r="45" spans="1:12" ht="15.75" thickTop="1" x14ac:dyDescent="0.25">
      <c r="A45" s="172">
        <v>8.5</v>
      </c>
      <c r="B45" s="173" t="s">
        <v>368</v>
      </c>
      <c r="C45" s="225"/>
      <c r="D45" s="196"/>
    </row>
    <row r="46" spans="1:12" x14ac:dyDescent="0.25">
      <c r="A46" s="172" t="s">
        <v>369</v>
      </c>
      <c r="B46" s="173" t="s">
        <v>381</v>
      </c>
      <c r="C46" s="206">
        <f>+G29</f>
        <v>85317.216075000018</v>
      </c>
      <c r="D46" s="190"/>
    </row>
    <row r="47" spans="1:12" x14ac:dyDescent="0.25">
      <c r="A47" s="172" t="s">
        <v>370</v>
      </c>
      <c r="B47" s="173" t="s">
        <v>382</v>
      </c>
      <c r="C47" s="206">
        <v>0</v>
      </c>
      <c r="D47" s="190"/>
    </row>
    <row r="48" spans="1:12" ht="15.75" thickBot="1" x14ac:dyDescent="0.3">
      <c r="A48" s="172">
        <v>8.6</v>
      </c>
      <c r="B48" s="173" t="s">
        <v>344</v>
      </c>
      <c r="C48" s="209">
        <v>0</v>
      </c>
      <c r="D48" s="191"/>
    </row>
    <row r="49" spans="1:4" ht="16.5" thickTop="1" thickBot="1" x14ac:dyDescent="0.3">
      <c r="A49" s="172"/>
      <c r="B49" s="172" t="s">
        <v>335</v>
      </c>
      <c r="C49" s="221">
        <f>SUM(C45:C48)</f>
        <v>85317.216075000018</v>
      </c>
      <c r="D49" s="192">
        <f>C49/$C$50</f>
        <v>0.14072859544082161</v>
      </c>
    </row>
    <row r="50" spans="1:4" ht="16.5" thickTop="1" thickBot="1" x14ac:dyDescent="0.3">
      <c r="A50" s="178"/>
      <c r="B50" s="179" t="s">
        <v>383</v>
      </c>
      <c r="C50" s="291">
        <f>+C30+C34+C39+C44+C49</f>
        <v>606253.5891000001</v>
      </c>
      <c r="D50" s="192">
        <f>C50/$C$50</f>
        <v>1</v>
      </c>
    </row>
    <row r="51" spans="1:4" ht="15.75" thickTop="1" x14ac:dyDescent="0.25"/>
    <row r="54" spans="1:4" x14ac:dyDescent="0.25">
      <c r="B54" t="s">
        <v>347</v>
      </c>
      <c r="C54" s="197">
        <f>+D30</f>
        <v>0.45272144352571875</v>
      </c>
      <c r="D54"/>
    </row>
    <row r="55" spans="1:4" x14ac:dyDescent="0.25">
      <c r="B55" t="s">
        <v>384</v>
      </c>
      <c r="C55" s="197">
        <f>+D34</f>
        <v>4.5649214285204132E-2</v>
      </c>
      <c r="D55"/>
    </row>
    <row r="56" spans="1:4" x14ac:dyDescent="0.25">
      <c r="B56" t="s">
        <v>356</v>
      </c>
      <c r="C56" s="197">
        <f>+D39</f>
        <v>0.34785707386585762</v>
      </c>
      <c r="D56"/>
    </row>
    <row r="57" spans="1:4" x14ac:dyDescent="0.25">
      <c r="B57" t="s">
        <v>380</v>
      </c>
      <c r="C57" s="197">
        <f>+D44</f>
        <v>1.3043672882397802E-2</v>
      </c>
      <c r="D57"/>
    </row>
    <row r="58" spans="1:4" x14ac:dyDescent="0.25">
      <c r="B58" t="s">
        <v>368</v>
      </c>
      <c r="C58" s="197">
        <f>+D49</f>
        <v>0.14072859544082161</v>
      </c>
      <c r="D58"/>
    </row>
    <row r="59" spans="1:4" x14ac:dyDescent="0.25">
      <c r="C59" s="197"/>
      <c r="D59"/>
    </row>
    <row r="60" spans="1:4" x14ac:dyDescent="0.25">
      <c r="D60"/>
    </row>
    <row r="61" spans="1:4" x14ac:dyDescent="0.25">
      <c r="D61"/>
    </row>
    <row r="62" spans="1:4" x14ac:dyDescent="0.25">
      <c r="D62"/>
    </row>
    <row r="63" spans="1:4" x14ac:dyDescent="0.25">
      <c r="D63"/>
    </row>
    <row r="64" spans="1:4" x14ac:dyDescent="0.25">
      <c r="D64"/>
    </row>
    <row r="65" spans="4:4" x14ac:dyDescent="0.25">
      <c r="D65"/>
    </row>
    <row r="66" spans="4:4" x14ac:dyDescent="0.25">
      <c r="D66"/>
    </row>
    <row r="67" spans="4:4" x14ac:dyDescent="0.25">
      <c r="D67"/>
    </row>
    <row r="68" spans="4:4" x14ac:dyDescent="0.25">
      <c r="D68"/>
    </row>
    <row r="69" spans="4:4" x14ac:dyDescent="0.25">
      <c r="D69"/>
    </row>
    <row r="70" spans="4:4" x14ac:dyDescent="0.25">
      <c r="D70"/>
    </row>
    <row r="71" spans="4:4" x14ac:dyDescent="0.25">
      <c r="D71"/>
    </row>
    <row r="72" spans="4:4" x14ac:dyDescent="0.25">
      <c r="D72"/>
    </row>
    <row r="73" spans="4:4" x14ac:dyDescent="0.25">
      <c r="D73"/>
    </row>
    <row r="74" spans="4:4" x14ac:dyDescent="0.25">
      <c r="D74"/>
    </row>
    <row r="75" spans="4:4" x14ac:dyDescent="0.25">
      <c r="D75"/>
    </row>
    <row r="76" spans="4:4" x14ac:dyDescent="0.25">
      <c r="D76"/>
    </row>
    <row r="77" spans="4:4" x14ac:dyDescent="0.25">
      <c r="D77"/>
    </row>
    <row r="78" spans="4:4" x14ac:dyDescent="0.25">
      <c r="D78"/>
    </row>
    <row r="79" spans="4:4" x14ac:dyDescent="0.25">
      <c r="D79"/>
    </row>
    <row r="80" spans="4:4" x14ac:dyDescent="0.25">
      <c r="D80"/>
    </row>
    <row r="81" spans="4:4" x14ac:dyDescent="0.25">
      <c r="D81"/>
    </row>
    <row r="82" spans="4:4" x14ac:dyDescent="0.25">
      <c r="D82"/>
    </row>
    <row r="83" spans="4:4" x14ac:dyDescent="0.25">
      <c r="D83"/>
    </row>
    <row r="84" spans="4:4" x14ac:dyDescent="0.25">
      <c r="D84"/>
    </row>
    <row r="85" spans="4:4" x14ac:dyDescent="0.25">
      <c r="D85"/>
    </row>
    <row r="86" spans="4:4" x14ac:dyDescent="0.25">
      <c r="D86"/>
    </row>
  </sheetData>
  <sheetProtection sheet="1" objects="1" scenarios="1"/>
  <pageMargins left="0.51181102362204722" right="0.11811023622047245" top="0.74803149606299213" bottom="0.74803149606299213" header="0.31496062992125984" footer="0.31496062992125984"/>
  <pageSetup paperSize="9" scale="83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/>
  </sheetViews>
  <sheetFormatPr baseColWidth="10" defaultRowHeight="15" x14ac:dyDescent="0.25"/>
  <cols>
    <col min="1" max="1" width="5.140625" bestFit="1" customWidth="1"/>
    <col min="2" max="2" width="63.5703125" bestFit="1" customWidth="1"/>
    <col min="3" max="3" width="11.7109375" bestFit="1" customWidth="1"/>
    <col min="4" max="4" width="12.42578125" bestFit="1" customWidth="1"/>
    <col min="6" max="6" width="21.85546875" bestFit="1" customWidth="1"/>
    <col min="7" max="7" width="12.42578125" bestFit="1" customWidth="1"/>
  </cols>
  <sheetData>
    <row r="1" spans="1:7" x14ac:dyDescent="0.25">
      <c r="A1" s="163"/>
      <c r="B1" s="164"/>
      <c r="C1" s="164"/>
      <c r="D1" s="164"/>
    </row>
    <row r="2" spans="1:7" x14ac:dyDescent="0.25">
      <c r="A2" s="165"/>
      <c r="B2" s="166" t="s">
        <v>327</v>
      </c>
      <c r="C2" s="166" t="s">
        <v>328</v>
      </c>
      <c r="D2" s="166" t="s">
        <v>329</v>
      </c>
    </row>
    <row r="3" spans="1:7" x14ac:dyDescent="0.25">
      <c r="A3" s="167"/>
      <c r="B3" s="168"/>
      <c r="C3" s="168" t="s">
        <v>330</v>
      </c>
      <c r="D3" s="168" t="s">
        <v>331</v>
      </c>
    </row>
    <row r="4" spans="1:7" x14ac:dyDescent="0.25">
      <c r="A4" s="169">
        <v>1</v>
      </c>
      <c r="B4" s="170" t="s">
        <v>332</v>
      </c>
      <c r="C4" s="204"/>
      <c r="D4" s="170"/>
      <c r="F4" s="171" t="s">
        <v>79</v>
      </c>
      <c r="G4" s="62">
        <f>+'7-CLASIFIC CTAS RDOS'!B23</f>
        <v>2076552</v>
      </c>
    </row>
    <row r="5" spans="1:7" x14ac:dyDescent="0.25">
      <c r="A5" s="172">
        <v>1.1000000000000001</v>
      </c>
      <c r="B5" s="173" t="s">
        <v>374</v>
      </c>
      <c r="C5" s="206">
        <f>+G4</f>
        <v>2076552</v>
      </c>
      <c r="D5" s="173"/>
      <c r="F5" s="171" t="s">
        <v>178</v>
      </c>
      <c r="G5" s="62">
        <f>+'7-CLASIFIC CTAS RDOS'!B24</f>
        <v>-1265383.1499999999</v>
      </c>
    </row>
    <row r="6" spans="1:7" x14ac:dyDescent="0.25">
      <c r="A6" s="172">
        <v>1.2</v>
      </c>
      <c r="B6" s="173" t="s">
        <v>333</v>
      </c>
      <c r="C6" s="206">
        <f>+G6</f>
        <v>13750</v>
      </c>
      <c r="D6" s="173"/>
      <c r="F6" s="171" t="s">
        <v>149</v>
      </c>
      <c r="G6" s="62">
        <f>+'7-CLASIFIC CTAS RDOS'!B25</f>
        <v>13750</v>
      </c>
    </row>
    <row r="7" spans="1:7" x14ac:dyDescent="0.25">
      <c r="A7" s="172">
        <v>1.3</v>
      </c>
      <c r="B7" s="173" t="s">
        <v>375</v>
      </c>
      <c r="C7" s="206"/>
      <c r="D7" s="173"/>
      <c r="F7" t="s">
        <v>146</v>
      </c>
      <c r="G7" s="62">
        <f>+'7-CLASIFIC CTAS RDOS'!B31</f>
        <v>-100800</v>
      </c>
    </row>
    <row r="8" spans="1:7" ht="15.75" thickBot="1" x14ac:dyDescent="0.3">
      <c r="A8" s="172">
        <v>1.4</v>
      </c>
      <c r="B8" s="173" t="s">
        <v>334</v>
      </c>
      <c r="C8" s="209"/>
      <c r="D8" s="174"/>
      <c r="F8" t="s">
        <v>154</v>
      </c>
      <c r="G8" s="62">
        <f>+'7-CLASIFIC CTAS RDOS'!B32</f>
        <v>-1920</v>
      </c>
    </row>
    <row r="9" spans="1:7" ht="16.5" thickTop="1" thickBot="1" x14ac:dyDescent="0.3">
      <c r="A9" s="172"/>
      <c r="B9" s="172" t="s">
        <v>335</v>
      </c>
      <c r="C9" s="221">
        <f>SUM(C5:C8)</f>
        <v>2090302</v>
      </c>
      <c r="D9" s="175"/>
      <c r="F9" t="s">
        <v>155</v>
      </c>
      <c r="G9" s="62">
        <f>+'7-CLASIFIC CTAS RDOS'!B33</f>
        <v>-12689</v>
      </c>
    </row>
    <row r="10" spans="1:7" ht="15.75" thickTop="1" x14ac:dyDescent="0.25">
      <c r="A10" s="169">
        <v>2</v>
      </c>
      <c r="B10" s="170" t="s">
        <v>336</v>
      </c>
      <c r="C10" s="213"/>
      <c r="D10" s="176"/>
      <c r="F10" t="s">
        <v>157</v>
      </c>
      <c r="G10" s="62">
        <f>+'7-CLASIFIC CTAS RDOS'!B34</f>
        <v>-19505</v>
      </c>
    </row>
    <row r="11" spans="1:7" x14ac:dyDescent="0.25">
      <c r="A11" s="172">
        <v>2.1</v>
      </c>
      <c r="B11" s="173" t="s">
        <v>372</v>
      </c>
      <c r="C11" s="206">
        <f>-G5-G22-G23</f>
        <v>1087580</v>
      </c>
      <c r="D11" s="173"/>
      <c r="F11" t="s">
        <v>156</v>
      </c>
      <c r="G11" s="62">
        <f>+'7-CLASIFIC CTAS RDOS'!B35</f>
        <v>-23562</v>
      </c>
    </row>
    <row r="12" spans="1:7" x14ac:dyDescent="0.25">
      <c r="A12" s="172">
        <v>2.2000000000000002</v>
      </c>
      <c r="B12" s="173" t="s">
        <v>337</v>
      </c>
      <c r="C12" s="206">
        <f>-G7-G8-G9-G10-G11-G12-G13-G14-G15-G19-G20</f>
        <v>286625</v>
      </c>
      <c r="D12" s="173"/>
      <c r="F12" t="s">
        <v>159</v>
      </c>
      <c r="G12" s="62">
        <f>+'7-CLASIFIC CTAS RDOS'!B37</f>
        <v>-19200</v>
      </c>
    </row>
    <row r="13" spans="1:7" x14ac:dyDescent="0.25">
      <c r="A13" s="172">
        <v>2.2999999999999998</v>
      </c>
      <c r="B13" s="173" t="s">
        <v>338</v>
      </c>
      <c r="C13" s="206">
        <v>0</v>
      </c>
      <c r="D13" s="173"/>
      <c r="F13" t="s">
        <v>160</v>
      </c>
      <c r="G13" s="62">
        <f>+'7-CLASIFIC CTAS RDOS'!B38</f>
        <v>-2863</v>
      </c>
    </row>
    <row r="14" spans="1:7" ht="15.75" thickBot="1" x14ac:dyDescent="0.3">
      <c r="A14" s="172">
        <v>2.4</v>
      </c>
      <c r="B14" s="173" t="s">
        <v>376</v>
      </c>
      <c r="C14" s="209">
        <v>0</v>
      </c>
      <c r="D14" s="174"/>
      <c r="F14" t="s">
        <v>161</v>
      </c>
      <c r="G14" s="62">
        <f>+'7-CLASIFIC CTAS RDOS'!B39</f>
        <v>-31618</v>
      </c>
    </row>
    <row r="15" spans="1:7" ht="16.5" thickTop="1" thickBot="1" x14ac:dyDescent="0.3">
      <c r="A15" s="172"/>
      <c r="B15" s="172" t="s">
        <v>335</v>
      </c>
      <c r="C15" s="221">
        <f>SUM(C11:C14)</f>
        <v>1374205</v>
      </c>
      <c r="D15" s="175"/>
      <c r="F15" t="s">
        <v>163</v>
      </c>
      <c r="G15" s="62">
        <f>+'7-CLASIFIC CTAS RDOS'!B41</f>
        <v>-13656</v>
      </c>
    </row>
    <row r="16" spans="1:7" ht="15.75" thickTop="1" x14ac:dyDescent="0.25">
      <c r="A16" s="169">
        <v>3</v>
      </c>
      <c r="B16" s="170" t="s">
        <v>339</v>
      </c>
      <c r="C16" s="213">
        <f>+C9-C15</f>
        <v>716097</v>
      </c>
      <c r="D16" s="176"/>
      <c r="F16" s="171" t="s">
        <v>170</v>
      </c>
      <c r="G16" s="62">
        <f>+'7-CLASIFIC CTAS RDOS'!B48</f>
        <v>-8950.6</v>
      </c>
    </row>
    <row r="17" spans="1:9" x14ac:dyDescent="0.25">
      <c r="A17" s="169">
        <v>4</v>
      </c>
      <c r="B17" s="170" t="s">
        <v>340</v>
      </c>
      <c r="C17" s="204">
        <f>-G16-G17-G18</f>
        <v>23234.9</v>
      </c>
      <c r="D17" s="170"/>
      <c r="F17" s="171" t="s">
        <v>171</v>
      </c>
      <c r="G17" s="62">
        <f>+'7-CLASIFIC CTAS RDOS'!B49</f>
        <v>-9835.5</v>
      </c>
    </row>
    <row r="18" spans="1:9" x14ac:dyDescent="0.25">
      <c r="A18" s="169">
        <v>5</v>
      </c>
      <c r="B18" s="170" t="s">
        <v>373</v>
      </c>
      <c r="C18" s="204">
        <f>+C16-C17</f>
        <v>692862.1</v>
      </c>
      <c r="D18" s="170"/>
      <c r="F18" s="171" t="s">
        <v>172</v>
      </c>
      <c r="G18" s="62">
        <f>+'7-CLASIFIC CTAS RDOS'!B50</f>
        <v>-4448.8000000000011</v>
      </c>
    </row>
    <row r="19" spans="1:9" x14ac:dyDescent="0.25">
      <c r="A19" s="169">
        <v>6</v>
      </c>
      <c r="B19" s="170" t="s">
        <v>341</v>
      </c>
      <c r="C19" s="204"/>
      <c r="D19" s="170"/>
      <c r="F19" t="s">
        <v>153</v>
      </c>
      <c r="G19" s="62">
        <f>+'7-CLASIFIC CTAS RDOS'!B30</f>
        <v>-27812</v>
      </c>
    </row>
    <row r="20" spans="1:9" x14ac:dyDescent="0.25">
      <c r="A20" s="172">
        <v>6.1</v>
      </c>
      <c r="B20" s="173" t="s">
        <v>342</v>
      </c>
      <c r="C20" s="206"/>
      <c r="D20" s="173"/>
      <c r="F20" t="s">
        <v>158</v>
      </c>
      <c r="G20" s="62">
        <f>+'7-CLASIFIC CTAS RDOS'!B36</f>
        <v>-33000</v>
      </c>
    </row>
    <row r="21" spans="1:9" x14ac:dyDescent="0.25">
      <c r="A21" s="172">
        <v>6.2</v>
      </c>
      <c r="B21" s="173" t="s">
        <v>343</v>
      </c>
      <c r="C21" s="206">
        <f>-G21</f>
        <v>-12974.890500000009</v>
      </c>
      <c r="D21" s="173"/>
      <c r="F21" s="171" t="s">
        <v>150</v>
      </c>
      <c r="G21" s="62">
        <f>+'7-CLASIFIC CTAS RDOS'!B26</f>
        <v>12974.890500000009</v>
      </c>
    </row>
    <row r="22" spans="1:9" ht="15.75" thickBot="1" x14ac:dyDescent="0.3">
      <c r="A22" s="172">
        <v>6.3</v>
      </c>
      <c r="B22" s="173" t="s">
        <v>377</v>
      </c>
      <c r="C22" s="209">
        <f>+G40</f>
        <v>68109.35639999999</v>
      </c>
      <c r="D22" s="174"/>
      <c r="F22" s="171" t="s">
        <v>151</v>
      </c>
      <c r="G22" s="62">
        <f>+'7-CLASIFIC CTAS RDOS'!B28</f>
        <v>5260</v>
      </c>
    </row>
    <row r="23" spans="1:9" ht="16.5" thickTop="1" thickBot="1" x14ac:dyDescent="0.3">
      <c r="A23" s="172"/>
      <c r="B23" s="172" t="s">
        <v>335</v>
      </c>
      <c r="C23" s="221">
        <f>SUM(C20:C22)</f>
        <v>55134.465899999981</v>
      </c>
      <c r="D23" s="177"/>
      <c r="F23" s="171" t="s">
        <v>4</v>
      </c>
      <c r="G23" s="62">
        <f>+'7-CLASIFIC CTAS RDOS'!B29</f>
        <v>172543.14999999991</v>
      </c>
    </row>
    <row r="24" spans="1:9" ht="15.75" thickTop="1" x14ac:dyDescent="0.25">
      <c r="A24" s="178">
        <v>7</v>
      </c>
      <c r="B24" s="179" t="s">
        <v>345</v>
      </c>
      <c r="C24" s="290">
        <f>+C18-C23</f>
        <v>637727.63410000002</v>
      </c>
      <c r="D24" s="180"/>
      <c r="G24" s="3">
        <f>SUM(G4:G23)</f>
        <v>705836.99049999996</v>
      </c>
    </row>
    <row r="25" spans="1:9" x14ac:dyDescent="0.25">
      <c r="A25" s="169">
        <v>8</v>
      </c>
      <c r="B25" s="170" t="s">
        <v>346</v>
      </c>
      <c r="C25" s="204"/>
      <c r="D25" s="170"/>
    </row>
    <row r="26" spans="1:9" x14ac:dyDescent="0.25">
      <c r="A26" s="172">
        <v>8.1</v>
      </c>
      <c r="B26" s="173" t="s">
        <v>347</v>
      </c>
      <c r="C26" s="206"/>
      <c r="D26" s="173"/>
    </row>
    <row r="27" spans="1:9" x14ac:dyDescent="0.25">
      <c r="A27" s="172" t="s">
        <v>348</v>
      </c>
      <c r="B27" s="173" t="s">
        <v>378</v>
      </c>
      <c r="C27" s="206">
        <f>+G32+G33</f>
        <v>248850</v>
      </c>
      <c r="D27" s="173"/>
    </row>
    <row r="28" spans="1:9" x14ac:dyDescent="0.25">
      <c r="A28" s="172" t="s">
        <v>349</v>
      </c>
      <c r="B28" s="173" t="s">
        <v>350</v>
      </c>
      <c r="C28" s="206">
        <v>0</v>
      </c>
      <c r="D28" s="173"/>
    </row>
    <row r="29" spans="1:9" ht="15.75" thickBot="1" x14ac:dyDescent="0.3">
      <c r="A29" s="172" t="s">
        <v>351</v>
      </c>
      <c r="B29" s="173" t="s">
        <v>344</v>
      </c>
      <c r="C29" s="209">
        <v>0</v>
      </c>
      <c r="D29" s="174"/>
      <c r="F29" s="93" t="s">
        <v>371</v>
      </c>
      <c r="G29" s="61">
        <f>+'6-AJxINFL IMPOSITIVO'!F58</f>
        <v>134103.53066500006</v>
      </c>
      <c r="H29" t="s">
        <v>322</v>
      </c>
      <c r="I29" t="s">
        <v>322</v>
      </c>
    </row>
    <row r="30" spans="1:9" ht="16.5" thickTop="1" thickBot="1" x14ac:dyDescent="0.3">
      <c r="A30" s="172"/>
      <c r="B30" s="172" t="s">
        <v>335</v>
      </c>
      <c r="C30" s="221">
        <f>SUM(C27:C29)</f>
        <v>248850</v>
      </c>
      <c r="D30" s="192">
        <f>C30/$C$50</f>
        <v>0.39021360639513802</v>
      </c>
      <c r="F30" s="171" t="s">
        <v>173</v>
      </c>
      <c r="G30" s="3">
        <f>-'6-AJxINFL IMPOSITIVO'!F57</f>
        <v>72209.593435000017</v>
      </c>
      <c r="H30" t="s">
        <v>320</v>
      </c>
      <c r="I30" s="3" t="s">
        <v>320</v>
      </c>
    </row>
    <row r="31" spans="1:9" ht="15.75" thickTop="1" x14ac:dyDescent="0.25">
      <c r="A31" s="172">
        <v>8.1999999999999993</v>
      </c>
      <c r="B31" s="173" t="s">
        <v>379</v>
      </c>
      <c r="C31" s="225"/>
      <c r="D31" s="181"/>
      <c r="F31" s="171" t="s">
        <v>152</v>
      </c>
      <c r="G31" s="62">
        <f>-'7-CLASIFIC CTAS RDOS'!B27</f>
        <v>7677.4500000000116</v>
      </c>
      <c r="H31" t="s">
        <v>307</v>
      </c>
      <c r="I31" t="s">
        <v>296</v>
      </c>
    </row>
    <row r="32" spans="1:9" x14ac:dyDescent="0.25">
      <c r="A32" s="172" t="s">
        <v>353</v>
      </c>
      <c r="B32" s="173" t="s">
        <v>354</v>
      </c>
      <c r="C32" s="206">
        <f>+G38</f>
        <v>25000</v>
      </c>
      <c r="D32" s="182"/>
      <c r="F32" s="171" t="s">
        <v>164</v>
      </c>
      <c r="G32" s="62">
        <f>-'7-CLASIFIC CTAS RDOS'!B42</f>
        <v>138250</v>
      </c>
      <c r="H32" t="s">
        <v>318</v>
      </c>
      <c r="I32" t="s">
        <v>313</v>
      </c>
    </row>
    <row r="33" spans="1:9" ht="15.75" thickBot="1" x14ac:dyDescent="0.3">
      <c r="A33" s="172" t="s">
        <v>355</v>
      </c>
      <c r="B33" s="173" t="s">
        <v>344</v>
      </c>
      <c r="C33" s="209">
        <v>0</v>
      </c>
      <c r="D33" s="183"/>
      <c r="F33" s="171" t="s">
        <v>165</v>
      </c>
      <c r="G33" s="62">
        <f>-'7-CLASIFIC CTAS RDOS'!B43</f>
        <v>110600</v>
      </c>
      <c r="H33" t="s">
        <v>318</v>
      </c>
      <c r="I33" t="s">
        <v>312</v>
      </c>
    </row>
    <row r="34" spans="1:9" ht="16.5" thickTop="1" thickBot="1" x14ac:dyDescent="0.3">
      <c r="A34" s="172"/>
      <c r="B34" s="172" t="s">
        <v>335</v>
      </c>
      <c r="C34" s="221">
        <f>SUM(C32:C33)</f>
        <v>25000</v>
      </c>
      <c r="D34" s="192">
        <f>C34/$C$50</f>
        <v>3.9201688406182239E-2</v>
      </c>
      <c r="F34" s="171" t="s">
        <v>167</v>
      </c>
      <c r="G34" s="62">
        <f>-'7-CLASIFIC CTAS RDOS'!B44</f>
        <v>45622.5</v>
      </c>
      <c r="H34" t="s">
        <v>319</v>
      </c>
      <c r="I34" t="s">
        <v>313</v>
      </c>
    </row>
    <row r="35" spans="1:9" ht="15.75" thickTop="1" x14ac:dyDescent="0.25">
      <c r="A35" s="172">
        <v>8.3000000000000007</v>
      </c>
      <c r="B35" s="173" t="s">
        <v>356</v>
      </c>
      <c r="C35" s="225"/>
      <c r="D35" s="181"/>
      <c r="F35" s="171" t="s">
        <v>166</v>
      </c>
      <c r="G35" s="62">
        <f>-'7-CLASIFIC CTAS RDOS'!B45</f>
        <v>36498</v>
      </c>
      <c r="H35" t="s">
        <v>319</v>
      </c>
      <c r="I35" t="s">
        <v>312</v>
      </c>
    </row>
    <row r="36" spans="1:9" x14ac:dyDescent="0.25">
      <c r="A36" s="172" t="s">
        <v>357</v>
      </c>
      <c r="B36" s="173" t="s">
        <v>358</v>
      </c>
      <c r="C36" s="206">
        <f>G30+G34+G35</f>
        <v>154330.09343500002</v>
      </c>
      <c r="D36" s="182"/>
      <c r="F36" s="171" t="s">
        <v>168</v>
      </c>
      <c r="G36" s="62">
        <f>-'7-CLASIFIC CTAS RDOS'!B46</f>
        <v>62296.56</v>
      </c>
      <c r="H36" t="s">
        <v>320</v>
      </c>
      <c r="I36" t="s">
        <v>312</v>
      </c>
    </row>
    <row r="37" spans="1:9" x14ac:dyDescent="0.25">
      <c r="A37" s="172" t="s">
        <v>359</v>
      </c>
      <c r="B37" s="173" t="s">
        <v>360</v>
      </c>
      <c r="C37" s="206">
        <f>+G36+G37</f>
        <v>67766.559999999998</v>
      </c>
      <c r="D37" s="182"/>
      <c r="F37" s="171" t="s">
        <v>169</v>
      </c>
      <c r="G37" s="62">
        <f>-'7-CLASIFIC CTAS RDOS'!B47</f>
        <v>5470</v>
      </c>
      <c r="H37" t="s">
        <v>320</v>
      </c>
      <c r="I37" t="s">
        <v>313</v>
      </c>
    </row>
    <row r="38" spans="1:9" ht="15.75" thickBot="1" x14ac:dyDescent="0.3">
      <c r="A38" s="172" t="s">
        <v>361</v>
      </c>
      <c r="B38" s="173" t="s">
        <v>362</v>
      </c>
      <c r="C38" s="209">
        <v>0</v>
      </c>
      <c r="D38" s="183"/>
      <c r="F38" s="171" t="s">
        <v>162</v>
      </c>
      <c r="G38" s="62">
        <f>-'7-CLASIFIC CTAS RDOS'!B40</f>
        <v>25000</v>
      </c>
      <c r="H38" t="s">
        <v>316</v>
      </c>
      <c r="I38" t="s">
        <v>313</v>
      </c>
    </row>
    <row r="39" spans="1:9" ht="16.5" thickTop="1" thickBot="1" x14ac:dyDescent="0.3">
      <c r="A39" s="172"/>
      <c r="B39" s="172" t="s">
        <v>335</v>
      </c>
      <c r="C39" s="221">
        <f>SUM(C36:C38)</f>
        <v>222096.65343500001</v>
      </c>
      <c r="D39" s="192">
        <f>C39/$C$50</f>
        <v>0.3482625521605886</v>
      </c>
      <c r="G39" s="3">
        <f>SUM(G29:G38)</f>
        <v>637727.63410000014</v>
      </c>
    </row>
    <row r="40" spans="1:9" ht="15.75" thickTop="1" x14ac:dyDescent="0.25">
      <c r="A40" s="172">
        <v>8.4</v>
      </c>
      <c r="B40" s="173" t="s">
        <v>380</v>
      </c>
      <c r="C40" s="225"/>
      <c r="D40" s="181"/>
      <c r="F40" s="171" t="s">
        <v>395</v>
      </c>
      <c r="G40" s="3">
        <f>-'6-AJxINFL IMPOSITIVO'!F55</f>
        <v>68109.35639999999</v>
      </c>
      <c r="H40" s="3"/>
    </row>
    <row r="41" spans="1:9" x14ac:dyDescent="0.25">
      <c r="A41" s="172" t="s">
        <v>363</v>
      </c>
      <c r="B41" s="173" t="s">
        <v>364</v>
      </c>
      <c r="C41" s="206">
        <f>+G31</f>
        <v>7677.4500000000116</v>
      </c>
      <c r="D41" s="182"/>
      <c r="G41" s="3">
        <f>+G39+G40</f>
        <v>705836.99050000007</v>
      </c>
    </row>
    <row r="42" spans="1:9" x14ac:dyDescent="0.25">
      <c r="A42" s="172" t="s">
        <v>365</v>
      </c>
      <c r="B42" s="173" t="s">
        <v>366</v>
      </c>
      <c r="C42" s="206">
        <v>0</v>
      </c>
      <c r="D42" s="182"/>
      <c r="F42" s="171"/>
      <c r="G42" s="57">
        <f>+G24-G41</f>
        <v>0</v>
      </c>
    </row>
    <row r="43" spans="1:9" ht="15.75" thickBot="1" x14ac:dyDescent="0.3">
      <c r="A43" s="172" t="s">
        <v>367</v>
      </c>
      <c r="B43" s="173" t="s">
        <v>344</v>
      </c>
      <c r="C43" s="209">
        <v>0</v>
      </c>
      <c r="D43" s="183"/>
    </row>
    <row r="44" spans="1:9" ht="16.5" thickTop="1" thickBot="1" x14ac:dyDescent="0.3">
      <c r="A44" s="172"/>
      <c r="B44" s="172" t="s">
        <v>335</v>
      </c>
      <c r="C44" s="221">
        <f>SUM(C41:C43)</f>
        <v>7677.4500000000116</v>
      </c>
      <c r="D44" s="192">
        <f>C44/$C$50</f>
        <v>1.2038760106161771E-2</v>
      </c>
      <c r="F44" s="50"/>
    </row>
    <row r="45" spans="1:9" ht="15.75" thickTop="1" x14ac:dyDescent="0.25">
      <c r="A45" s="172">
        <v>8.5</v>
      </c>
      <c r="B45" s="173" t="s">
        <v>368</v>
      </c>
      <c r="C45" s="225"/>
      <c r="D45" s="181"/>
      <c r="F45" s="50"/>
    </row>
    <row r="46" spans="1:9" x14ac:dyDescent="0.25">
      <c r="A46" s="172" t="s">
        <v>369</v>
      </c>
      <c r="B46" s="173" t="s">
        <v>381</v>
      </c>
      <c r="C46" s="206">
        <f>+G29</f>
        <v>134103.53066500006</v>
      </c>
      <c r="D46" s="182"/>
    </row>
    <row r="47" spans="1:9" x14ac:dyDescent="0.25">
      <c r="A47" s="172" t="s">
        <v>370</v>
      </c>
      <c r="B47" s="173" t="s">
        <v>382</v>
      </c>
      <c r="C47" s="206">
        <v>0</v>
      </c>
      <c r="D47" s="182"/>
    </row>
    <row r="48" spans="1:9" ht="15.75" thickBot="1" x14ac:dyDescent="0.3">
      <c r="A48" s="172">
        <v>8.6</v>
      </c>
      <c r="B48" s="173" t="s">
        <v>344</v>
      </c>
      <c r="C48" s="209">
        <v>0</v>
      </c>
      <c r="D48" s="183"/>
    </row>
    <row r="49" spans="1:4" ht="16.5" thickTop="1" thickBot="1" x14ac:dyDescent="0.3">
      <c r="A49" s="172"/>
      <c r="B49" s="172" t="s">
        <v>335</v>
      </c>
      <c r="C49" s="221">
        <f>SUM(C45:C48)</f>
        <v>134103.53066500006</v>
      </c>
      <c r="D49" s="192">
        <f>C49/$C$50</f>
        <v>0.21028339293192949</v>
      </c>
    </row>
    <row r="50" spans="1:4" ht="16.5" thickTop="1" thickBot="1" x14ac:dyDescent="0.3">
      <c r="A50" s="178"/>
      <c r="B50" s="179" t="s">
        <v>383</v>
      </c>
      <c r="C50" s="291">
        <f>+C30+C34+C39+C44+C49</f>
        <v>637727.63410000002</v>
      </c>
      <c r="D50" s="192">
        <f>C50/$C$50</f>
        <v>1</v>
      </c>
    </row>
    <row r="51" spans="1:4" ht="15.75" thickTop="1" x14ac:dyDescent="0.25"/>
    <row r="53" spans="1:4" x14ac:dyDescent="0.25">
      <c r="B53" t="s">
        <v>347</v>
      </c>
      <c r="C53" s="197">
        <f>+D30</f>
        <v>0.39021360639513802</v>
      </c>
    </row>
    <row r="54" spans="1:4" x14ac:dyDescent="0.25">
      <c r="B54" t="s">
        <v>384</v>
      </c>
      <c r="C54" s="197">
        <f>+D34</f>
        <v>3.9201688406182239E-2</v>
      </c>
    </row>
    <row r="55" spans="1:4" x14ac:dyDescent="0.25">
      <c r="B55" t="s">
        <v>356</v>
      </c>
      <c r="C55" s="197">
        <f>+D39</f>
        <v>0.3482625521605886</v>
      </c>
    </row>
    <row r="56" spans="1:4" x14ac:dyDescent="0.25">
      <c r="B56" t="s">
        <v>380</v>
      </c>
      <c r="C56" s="197">
        <f>+D44</f>
        <v>1.2038760106161771E-2</v>
      </c>
    </row>
    <row r="57" spans="1:4" x14ac:dyDescent="0.25">
      <c r="B57" t="s">
        <v>368</v>
      </c>
      <c r="C57" s="197">
        <f>+D49</f>
        <v>0.21028339293192949</v>
      </c>
    </row>
    <row r="58" spans="1:4" x14ac:dyDescent="0.25">
      <c r="C58" s="197"/>
    </row>
  </sheetData>
  <sheetProtection sheet="1" objects="1" scenarios="1"/>
  <pageMargins left="0.51181102362204722" right="0.11811023622047245" top="0.74803149606299213" bottom="0.74803149606299213" header="0.31496062992125984" footer="0.31496062992125984"/>
  <pageSetup paperSize="9" scale="77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workbookViewId="0"/>
  </sheetViews>
  <sheetFormatPr baseColWidth="10" defaultRowHeight="15" x14ac:dyDescent="0.25"/>
  <cols>
    <col min="1" max="1" width="5.140625" bestFit="1" customWidth="1"/>
    <col min="2" max="2" width="49.85546875" bestFit="1" customWidth="1"/>
    <col min="3" max="3" width="11.7109375" style="3" bestFit="1" customWidth="1"/>
    <col min="4" max="4" width="6.85546875" style="144" bestFit="1" customWidth="1"/>
    <col min="5" max="5" width="11.7109375" style="3" bestFit="1" customWidth="1"/>
    <col min="6" max="6" width="6.85546875" style="144" bestFit="1" customWidth="1"/>
    <col min="7" max="7" width="11.7109375" style="3" bestFit="1" customWidth="1"/>
    <col min="8" max="8" width="6.85546875" style="144" bestFit="1" customWidth="1"/>
  </cols>
  <sheetData>
    <row r="1" spans="1:8" x14ac:dyDescent="0.25">
      <c r="A1" s="163"/>
      <c r="B1" s="164"/>
      <c r="C1" s="323" t="s">
        <v>147</v>
      </c>
      <c r="D1" s="324"/>
      <c r="E1" s="199" t="s">
        <v>409</v>
      </c>
      <c r="F1" s="201"/>
      <c r="G1" s="325" t="s">
        <v>410</v>
      </c>
      <c r="H1" s="198"/>
    </row>
    <row r="2" spans="1:8" x14ac:dyDescent="0.25">
      <c r="A2" s="165"/>
      <c r="B2" s="166" t="s">
        <v>327</v>
      </c>
      <c r="C2" s="199" t="s">
        <v>328</v>
      </c>
      <c r="D2" s="200" t="s">
        <v>329</v>
      </c>
      <c r="E2" s="199" t="s">
        <v>328</v>
      </c>
      <c r="F2" s="201" t="s">
        <v>329</v>
      </c>
      <c r="G2" s="199" t="s">
        <v>328</v>
      </c>
      <c r="H2" s="201" t="s">
        <v>329</v>
      </c>
    </row>
    <row r="3" spans="1:8" x14ac:dyDescent="0.25">
      <c r="A3" s="167"/>
      <c r="B3" s="168"/>
      <c r="C3" s="202" t="s">
        <v>330</v>
      </c>
      <c r="D3" s="203"/>
      <c r="E3" s="199" t="s">
        <v>330</v>
      </c>
      <c r="F3" s="198"/>
      <c r="G3" s="199" t="s">
        <v>330</v>
      </c>
      <c r="H3" s="198"/>
    </row>
    <row r="4" spans="1:8" x14ac:dyDescent="0.25">
      <c r="A4" s="169">
        <v>1</v>
      </c>
      <c r="B4" s="170" t="s">
        <v>332</v>
      </c>
      <c r="C4" s="204"/>
      <c r="D4" s="205"/>
      <c r="E4" s="206"/>
      <c r="F4" s="207"/>
      <c r="G4" s="206"/>
      <c r="H4" s="207"/>
    </row>
    <row r="5" spans="1:8" x14ac:dyDescent="0.25">
      <c r="A5" s="172">
        <v>1.1000000000000001</v>
      </c>
      <c r="B5" s="173" t="s">
        <v>374</v>
      </c>
      <c r="C5" s="206">
        <f>'8-EVEGyD HIST'!C5</f>
        <v>2076552</v>
      </c>
      <c r="D5" s="208"/>
      <c r="E5" s="206">
        <f>'9-EVEGyD AJUST'!C5</f>
        <v>2277689.67</v>
      </c>
      <c r="F5" s="207"/>
      <c r="G5" s="206">
        <f>'10-EVEGyD IMPOSIT AJ'!C5</f>
        <v>2076552</v>
      </c>
      <c r="H5" s="207"/>
    </row>
    <row r="6" spans="1:8" x14ac:dyDescent="0.25">
      <c r="A6" s="172">
        <v>1.2</v>
      </c>
      <c r="B6" s="173" t="s">
        <v>333</v>
      </c>
      <c r="C6" s="206">
        <f>'8-EVEGyD HIST'!C6</f>
        <v>13750</v>
      </c>
      <c r="D6" s="208"/>
      <c r="E6" s="206">
        <f>'9-EVEGyD AJUST'!C6</f>
        <v>-5812.5</v>
      </c>
      <c r="F6" s="207"/>
      <c r="G6" s="206">
        <f>'10-EVEGyD IMPOSIT AJ'!C6</f>
        <v>13750</v>
      </c>
      <c r="H6" s="207"/>
    </row>
    <row r="7" spans="1:8" x14ac:dyDescent="0.25">
      <c r="A7" s="172">
        <v>1.3</v>
      </c>
      <c r="B7" s="173" t="s">
        <v>375</v>
      </c>
      <c r="C7" s="206">
        <f>'8-EVEGyD HIST'!C7</f>
        <v>0</v>
      </c>
      <c r="D7" s="208"/>
      <c r="E7" s="206">
        <f>'9-EVEGyD AJUST'!C7</f>
        <v>0</v>
      </c>
      <c r="F7" s="207"/>
      <c r="G7" s="206">
        <f>'10-EVEGyD IMPOSIT AJ'!C7</f>
        <v>0</v>
      </c>
      <c r="H7" s="207"/>
    </row>
    <row r="8" spans="1:8" ht="15.75" thickBot="1" x14ac:dyDescent="0.3">
      <c r="A8" s="172">
        <v>1.4</v>
      </c>
      <c r="B8" s="173" t="s">
        <v>334</v>
      </c>
      <c r="C8" s="206">
        <f>'8-EVEGyD HIST'!C8</f>
        <v>0</v>
      </c>
      <c r="D8" s="210"/>
      <c r="E8" s="206">
        <f>'9-EVEGyD AJUST'!C8</f>
        <v>0</v>
      </c>
      <c r="F8" s="207"/>
      <c r="G8" s="206">
        <f>'10-EVEGyD IMPOSIT AJ'!C8</f>
        <v>0</v>
      </c>
      <c r="H8" s="230"/>
    </row>
    <row r="9" spans="1:8" ht="16.5" thickTop="1" thickBot="1" x14ac:dyDescent="0.3">
      <c r="A9" s="172"/>
      <c r="B9" s="172" t="s">
        <v>335</v>
      </c>
      <c r="C9" s="211">
        <f>SUM(C5:C8)</f>
        <v>2090302</v>
      </c>
      <c r="D9" s="212"/>
      <c r="E9" s="211">
        <f t="shared" ref="E9:G9" si="0">SUM(E5:E8)</f>
        <v>2271877.17</v>
      </c>
      <c r="F9" s="212"/>
      <c r="G9" s="211">
        <f t="shared" si="0"/>
        <v>2090302</v>
      </c>
      <c r="H9" s="227"/>
    </row>
    <row r="10" spans="1:8" ht="15.75" thickTop="1" x14ac:dyDescent="0.25">
      <c r="A10" s="169">
        <v>2</v>
      </c>
      <c r="B10" s="170" t="s">
        <v>336</v>
      </c>
      <c r="C10" s="213"/>
      <c r="D10" s="214"/>
      <c r="E10" s="206"/>
      <c r="F10" s="207"/>
      <c r="G10" s="206"/>
      <c r="H10" s="228"/>
    </row>
    <row r="11" spans="1:8" x14ac:dyDescent="0.25">
      <c r="A11" s="172">
        <v>2.1</v>
      </c>
      <c r="B11" s="173" t="s">
        <v>372</v>
      </c>
      <c r="C11" s="206">
        <f>'8-EVEGyD HIST'!C11</f>
        <v>1087580</v>
      </c>
      <c r="D11" s="208"/>
      <c r="E11" s="206">
        <f>'9-EVEGyD AJUST'!C11</f>
        <v>1255614</v>
      </c>
      <c r="F11" s="207"/>
      <c r="G11" s="206">
        <f>'10-EVEGyD IMPOSIT AJ'!C11</f>
        <v>1087580</v>
      </c>
      <c r="H11" s="207"/>
    </row>
    <row r="12" spans="1:8" x14ac:dyDescent="0.25">
      <c r="A12" s="172">
        <v>2.2000000000000002</v>
      </c>
      <c r="B12" s="173" t="s">
        <v>337</v>
      </c>
      <c r="C12" s="206">
        <f>'8-EVEGyD HIST'!C12</f>
        <v>286625</v>
      </c>
      <c r="D12" s="208"/>
      <c r="E12" s="206">
        <f>'9-EVEGyD AJUST'!C12</f>
        <v>319397.66000000003</v>
      </c>
      <c r="F12" s="207"/>
      <c r="G12" s="206">
        <f>'10-EVEGyD IMPOSIT AJ'!C12</f>
        <v>286625</v>
      </c>
      <c r="H12" s="207"/>
    </row>
    <row r="13" spans="1:8" x14ac:dyDescent="0.25">
      <c r="A13" s="172">
        <v>2.2999999999999998</v>
      </c>
      <c r="B13" s="173" t="s">
        <v>338</v>
      </c>
      <c r="C13" s="206">
        <f>'8-EVEGyD HIST'!C13</f>
        <v>0</v>
      </c>
      <c r="D13" s="208"/>
      <c r="E13" s="206">
        <f>'9-EVEGyD AJUST'!C13</f>
        <v>0</v>
      </c>
      <c r="F13" s="207"/>
      <c r="G13" s="206">
        <f>'10-EVEGyD IMPOSIT AJ'!C13</f>
        <v>0</v>
      </c>
      <c r="H13" s="207"/>
    </row>
    <row r="14" spans="1:8" ht="15.75" thickBot="1" x14ac:dyDescent="0.3">
      <c r="A14" s="172">
        <v>2.4</v>
      </c>
      <c r="B14" s="173" t="s">
        <v>376</v>
      </c>
      <c r="C14" s="206">
        <f>'8-EVEGyD HIST'!C14</f>
        <v>0</v>
      </c>
      <c r="D14" s="210"/>
      <c r="E14" s="206">
        <f>'9-EVEGyD AJUST'!C14</f>
        <v>68109.356400000004</v>
      </c>
      <c r="F14" s="207"/>
      <c r="G14" s="206">
        <f>'10-EVEGyD IMPOSIT AJ'!C14</f>
        <v>0</v>
      </c>
      <c r="H14" s="230"/>
    </row>
    <row r="15" spans="1:8" ht="16.5" thickTop="1" thickBot="1" x14ac:dyDescent="0.3">
      <c r="A15" s="172"/>
      <c r="B15" s="172" t="s">
        <v>335</v>
      </c>
      <c r="C15" s="211">
        <f>SUM(C11:C14)</f>
        <v>1374205</v>
      </c>
      <c r="D15" s="212"/>
      <c r="E15" s="211">
        <f t="shared" ref="E15:G15" si="1">SUM(E11:E14)</f>
        <v>1643121.0164000001</v>
      </c>
      <c r="F15" s="212"/>
      <c r="G15" s="211">
        <f t="shared" si="1"/>
        <v>1374205</v>
      </c>
      <c r="H15" s="227"/>
    </row>
    <row r="16" spans="1:8" ht="15.75" thickTop="1" x14ac:dyDescent="0.25">
      <c r="A16" s="169">
        <v>3</v>
      </c>
      <c r="B16" s="170" t="s">
        <v>339</v>
      </c>
      <c r="C16" s="215">
        <f>+C9-C15</f>
        <v>716097</v>
      </c>
      <c r="D16" s="216"/>
      <c r="E16" s="215">
        <f t="shared" ref="E16:G16" si="2">+E9-E15</f>
        <v>628756.15359999985</v>
      </c>
      <c r="F16" s="216"/>
      <c r="G16" s="215">
        <f t="shared" si="2"/>
        <v>716097</v>
      </c>
      <c r="H16" s="228"/>
    </row>
    <row r="17" spans="1:8" x14ac:dyDescent="0.25">
      <c r="A17" s="169">
        <v>4</v>
      </c>
      <c r="B17" s="170" t="s">
        <v>340</v>
      </c>
      <c r="C17" s="206">
        <f>'8-EVEGyD HIST'!C17</f>
        <v>23234.9</v>
      </c>
      <c r="D17" s="218"/>
      <c r="E17" s="206">
        <f>'9-EVEGyD AJUST'!C17</f>
        <v>29043.625</v>
      </c>
      <c r="F17" s="219"/>
      <c r="G17" s="206">
        <f>'10-EVEGyD IMPOSIT AJ'!C17</f>
        <v>23234.9</v>
      </c>
      <c r="H17" s="207"/>
    </row>
    <row r="18" spans="1:8" x14ac:dyDescent="0.25">
      <c r="A18" s="169">
        <v>5</v>
      </c>
      <c r="B18" s="170" t="s">
        <v>373</v>
      </c>
      <c r="C18" s="217">
        <f>+C16-C17</f>
        <v>692862.1</v>
      </c>
      <c r="D18" s="220"/>
      <c r="E18" s="217">
        <f t="shared" ref="E18:G18" si="3">+E16-E17</f>
        <v>599712.52859999985</v>
      </c>
      <c r="F18" s="220"/>
      <c r="G18" s="217">
        <f t="shared" si="3"/>
        <v>692862.1</v>
      </c>
      <c r="H18" s="207"/>
    </row>
    <row r="19" spans="1:8" x14ac:dyDescent="0.25">
      <c r="A19" s="169">
        <v>6</v>
      </c>
      <c r="B19" s="170" t="s">
        <v>341</v>
      </c>
      <c r="C19" s="204"/>
      <c r="D19" s="205"/>
      <c r="E19" s="206"/>
      <c r="F19" s="207"/>
      <c r="G19" s="206"/>
      <c r="H19" s="207"/>
    </row>
    <row r="20" spans="1:8" x14ac:dyDescent="0.25">
      <c r="A20" s="172">
        <v>6.1</v>
      </c>
      <c r="B20" s="173" t="s">
        <v>342</v>
      </c>
      <c r="C20" s="206">
        <f>'8-EVEGyD HIST'!C20</f>
        <v>0</v>
      </c>
      <c r="D20" s="208"/>
      <c r="E20" s="206">
        <f>'9-EVEGyD AJUST'!C20</f>
        <v>0</v>
      </c>
      <c r="F20" s="207"/>
      <c r="G20" s="206">
        <f>'10-EVEGyD IMPOSIT AJ'!C20</f>
        <v>0</v>
      </c>
      <c r="H20" s="207"/>
    </row>
    <row r="21" spans="1:8" x14ac:dyDescent="0.25">
      <c r="A21" s="172">
        <v>6.2</v>
      </c>
      <c r="B21" s="173" t="s">
        <v>343</v>
      </c>
      <c r="C21" s="206">
        <f>'8-EVEGyD HIST'!C21</f>
        <v>-12974.890500000009</v>
      </c>
      <c r="D21" s="208"/>
      <c r="E21" s="206">
        <f>'9-EVEGyD AJUST'!C21</f>
        <v>-6541.0604999999923</v>
      </c>
      <c r="F21" s="207"/>
      <c r="G21" s="206">
        <f>'10-EVEGyD IMPOSIT AJ'!C21</f>
        <v>-12974.890500000009</v>
      </c>
      <c r="H21" s="207"/>
    </row>
    <row r="22" spans="1:8" ht="15.75" thickBot="1" x14ac:dyDescent="0.3">
      <c r="A22" s="172">
        <v>6.3</v>
      </c>
      <c r="B22" s="173" t="s">
        <v>377</v>
      </c>
      <c r="C22" s="206">
        <f>'8-EVEGyD HIST'!C22</f>
        <v>0</v>
      </c>
      <c r="D22" s="210"/>
      <c r="E22" s="206">
        <f>'9-EVEGyD AJUST'!C22</f>
        <v>0</v>
      </c>
      <c r="F22" s="207"/>
      <c r="G22" s="206">
        <f>'10-EVEGyD IMPOSIT AJ'!C22</f>
        <v>68109.35639999999</v>
      </c>
      <c r="H22" s="230"/>
    </row>
    <row r="23" spans="1:8" ht="16.5" thickTop="1" thickBot="1" x14ac:dyDescent="0.3">
      <c r="A23" s="172"/>
      <c r="B23" s="172" t="s">
        <v>335</v>
      </c>
      <c r="C23" s="221">
        <f>SUM(C21:C22)</f>
        <v>-12974.890500000009</v>
      </c>
      <c r="D23" s="222"/>
      <c r="E23" s="221">
        <f t="shared" ref="E23:G23" si="4">SUM(E21:E22)</f>
        <v>-6541.0604999999923</v>
      </c>
      <c r="F23" s="222"/>
      <c r="G23" s="221">
        <f t="shared" si="4"/>
        <v>55134.465899999981</v>
      </c>
      <c r="H23" s="227"/>
    </row>
    <row r="24" spans="1:8" ht="15.75" thickTop="1" x14ac:dyDescent="0.25">
      <c r="A24" s="178">
        <v>7</v>
      </c>
      <c r="B24" s="179" t="s">
        <v>345</v>
      </c>
      <c r="C24" s="223">
        <f>+C18-C23</f>
        <v>705836.99049999996</v>
      </c>
      <c r="D24" s="224"/>
      <c r="E24" s="223">
        <f t="shared" ref="E24:G24" si="5">+E18-E23</f>
        <v>606253.58909999987</v>
      </c>
      <c r="F24" s="224"/>
      <c r="G24" s="223">
        <f t="shared" si="5"/>
        <v>637727.63410000002</v>
      </c>
      <c r="H24" s="231"/>
    </row>
    <row r="25" spans="1:8" x14ac:dyDescent="0.25">
      <c r="A25" s="169">
        <v>8</v>
      </c>
      <c r="B25" s="170" t="s">
        <v>346</v>
      </c>
      <c r="C25" s="204"/>
      <c r="D25" s="205"/>
      <c r="E25" s="206"/>
      <c r="F25" s="207"/>
      <c r="G25" s="206"/>
      <c r="H25" s="207"/>
    </row>
    <row r="26" spans="1:8" x14ac:dyDescent="0.25">
      <c r="A26" s="172">
        <v>8.1</v>
      </c>
      <c r="B26" s="173" t="s">
        <v>347</v>
      </c>
      <c r="C26" s="206">
        <f>'8-EVEGyD HIST'!C26</f>
        <v>0</v>
      </c>
      <c r="D26" s="208"/>
      <c r="E26" s="206">
        <f>'9-EVEGyD AJUST'!C26</f>
        <v>0</v>
      </c>
      <c r="F26" s="207"/>
      <c r="G26" s="206">
        <f>'10-EVEGyD IMPOSIT AJ'!C26</f>
        <v>0</v>
      </c>
      <c r="H26" s="207"/>
    </row>
    <row r="27" spans="1:8" x14ac:dyDescent="0.25">
      <c r="A27" s="172" t="s">
        <v>348</v>
      </c>
      <c r="B27" s="173" t="s">
        <v>378</v>
      </c>
      <c r="C27" s="206">
        <f>'8-EVEGyD HIST'!C27</f>
        <v>248850</v>
      </c>
      <c r="D27" s="208"/>
      <c r="E27" s="206">
        <f>'9-EVEGyD AJUST'!C27</f>
        <v>274464</v>
      </c>
      <c r="F27" s="207"/>
      <c r="G27" s="206">
        <f>'10-EVEGyD IMPOSIT AJ'!C27</f>
        <v>248850</v>
      </c>
      <c r="H27" s="207"/>
    </row>
    <row r="28" spans="1:8" x14ac:dyDescent="0.25">
      <c r="A28" s="172" t="s">
        <v>349</v>
      </c>
      <c r="B28" s="173" t="s">
        <v>350</v>
      </c>
      <c r="C28" s="206">
        <f>'8-EVEGyD HIST'!C28</f>
        <v>0</v>
      </c>
      <c r="D28" s="208"/>
      <c r="E28" s="206">
        <f>'9-EVEGyD AJUST'!C28</f>
        <v>0</v>
      </c>
      <c r="F28" s="207"/>
      <c r="G28" s="206">
        <f>'10-EVEGyD IMPOSIT AJ'!C28</f>
        <v>0</v>
      </c>
      <c r="H28" s="207"/>
    </row>
    <row r="29" spans="1:8" ht="15.75" thickBot="1" x14ac:dyDescent="0.3">
      <c r="A29" s="172" t="s">
        <v>351</v>
      </c>
      <c r="B29" s="173" t="s">
        <v>344</v>
      </c>
      <c r="C29" s="206">
        <f>'8-EVEGyD HIST'!C29</f>
        <v>0</v>
      </c>
      <c r="D29" s="210"/>
      <c r="E29" s="206">
        <f>'9-EVEGyD AJUST'!C29</f>
        <v>0</v>
      </c>
      <c r="F29" s="230"/>
      <c r="G29" s="206">
        <f>'10-EVEGyD IMPOSIT AJ'!C29</f>
        <v>0</v>
      </c>
      <c r="H29" s="230"/>
    </row>
    <row r="30" spans="1:8" ht="16.5" thickTop="1" thickBot="1" x14ac:dyDescent="0.3">
      <c r="A30" s="172"/>
      <c r="B30" s="172" t="s">
        <v>335</v>
      </c>
      <c r="C30" s="211">
        <f>SUM(C27:C29)</f>
        <v>248850</v>
      </c>
      <c r="D30" s="227">
        <f>+C30/$C$50</f>
        <v>0.35256015673494229</v>
      </c>
      <c r="E30" s="211">
        <f>SUM(E27:E29)</f>
        <v>274464</v>
      </c>
      <c r="F30" s="227">
        <f>+E30/$E$50</f>
        <v>0.45272144352571875</v>
      </c>
      <c r="G30" s="211">
        <f>SUM(G27:G29)</f>
        <v>248850</v>
      </c>
      <c r="H30" s="227">
        <f>+G30/$G$50</f>
        <v>0.39021360639513802</v>
      </c>
    </row>
    <row r="31" spans="1:8" ht="15.75" thickTop="1" x14ac:dyDescent="0.25">
      <c r="A31" s="172">
        <v>8.1999999999999993</v>
      </c>
      <c r="B31" s="173" t="s">
        <v>379</v>
      </c>
      <c r="C31" s="206"/>
      <c r="D31" s="228"/>
      <c r="E31" s="206"/>
      <c r="F31" s="228"/>
      <c r="G31" s="206"/>
      <c r="H31" s="228"/>
    </row>
    <row r="32" spans="1:8" x14ac:dyDescent="0.25">
      <c r="A32" s="172" t="s">
        <v>353</v>
      </c>
      <c r="B32" s="173" t="s">
        <v>354</v>
      </c>
      <c r="C32" s="206">
        <f>'8-EVEGyD HIST'!C32</f>
        <v>25000</v>
      </c>
      <c r="D32" s="207"/>
      <c r="E32" s="206">
        <f>'9-EVEGyD AJUST'!C32</f>
        <v>27675</v>
      </c>
      <c r="F32" s="207"/>
      <c r="G32" s="206">
        <f>'10-EVEGyD IMPOSIT AJ'!C32</f>
        <v>25000</v>
      </c>
      <c r="H32" s="207"/>
    </row>
    <row r="33" spans="1:8" ht="15.75" thickBot="1" x14ac:dyDescent="0.3">
      <c r="A33" s="172" t="s">
        <v>355</v>
      </c>
      <c r="B33" s="173" t="s">
        <v>344</v>
      </c>
      <c r="C33" s="206">
        <f>'8-EVEGyD HIST'!C33</f>
        <v>0</v>
      </c>
      <c r="D33" s="229"/>
      <c r="E33" s="206">
        <f>'9-EVEGyD AJUST'!C33</f>
        <v>0</v>
      </c>
      <c r="F33" s="230"/>
      <c r="G33" s="206">
        <f>'10-EVEGyD IMPOSIT AJ'!C33</f>
        <v>0</v>
      </c>
      <c r="H33" s="230"/>
    </row>
    <row r="34" spans="1:8" ht="16.5" thickTop="1" thickBot="1" x14ac:dyDescent="0.3">
      <c r="A34" s="172"/>
      <c r="B34" s="172" t="s">
        <v>335</v>
      </c>
      <c r="C34" s="211">
        <f>SUM(C32:C33)</f>
        <v>25000</v>
      </c>
      <c r="D34" s="227">
        <f>+C34/$C$50</f>
        <v>3.5418942810422169E-2</v>
      </c>
      <c r="E34" s="211">
        <f>SUM(E32:E33)</f>
        <v>27675</v>
      </c>
      <c r="F34" s="227">
        <f>+E34/$E$50</f>
        <v>4.5649214285204132E-2</v>
      </c>
      <c r="G34" s="211">
        <f>SUM(G32:G33)</f>
        <v>25000</v>
      </c>
      <c r="H34" s="227">
        <f>+G34/$G$50</f>
        <v>3.9201688406182239E-2</v>
      </c>
    </row>
    <row r="35" spans="1:8" ht="15.75" thickTop="1" x14ac:dyDescent="0.25">
      <c r="A35" s="172">
        <v>8.3000000000000007</v>
      </c>
      <c r="B35" s="173" t="s">
        <v>356</v>
      </c>
      <c r="C35" s="225"/>
      <c r="D35" s="228"/>
      <c r="E35" s="206"/>
      <c r="F35" s="228"/>
      <c r="G35" s="206"/>
      <c r="H35" s="228"/>
    </row>
    <row r="36" spans="1:8" x14ac:dyDescent="0.25">
      <c r="A36" s="172" t="s">
        <v>357</v>
      </c>
      <c r="B36" s="173" t="s">
        <v>358</v>
      </c>
      <c r="C36" s="206">
        <f>'8-EVEGyD HIST'!C36</f>
        <v>178168.36817500001</v>
      </c>
      <c r="D36" s="207"/>
      <c r="E36" s="206">
        <f>'9-EVEGyD AJUST'!C36</f>
        <v>136513.15942500002</v>
      </c>
      <c r="F36" s="207"/>
      <c r="G36" s="206">
        <f>'10-EVEGyD IMPOSIT AJ'!C36</f>
        <v>154330.09343500002</v>
      </c>
      <c r="H36" s="207"/>
    </row>
    <row r="37" spans="1:8" x14ac:dyDescent="0.25">
      <c r="A37" s="172" t="s">
        <v>359</v>
      </c>
      <c r="B37" s="173" t="s">
        <v>360</v>
      </c>
      <c r="C37" s="206">
        <f>'8-EVEGyD HIST'!C37</f>
        <v>67766.559999999998</v>
      </c>
      <c r="D37" s="207"/>
      <c r="E37" s="206">
        <f>'9-EVEGyD AJUST'!C37</f>
        <v>74376.440100000007</v>
      </c>
      <c r="F37" s="207"/>
      <c r="G37" s="206">
        <f>'10-EVEGyD IMPOSIT AJ'!C37</f>
        <v>67766.559999999998</v>
      </c>
      <c r="H37" s="207"/>
    </row>
    <row r="38" spans="1:8" ht="15.75" thickBot="1" x14ac:dyDescent="0.3">
      <c r="A38" s="172" t="s">
        <v>361</v>
      </c>
      <c r="B38" s="173" t="s">
        <v>362</v>
      </c>
      <c r="C38" s="206">
        <f>'8-EVEGyD HIST'!C38</f>
        <v>0</v>
      </c>
      <c r="D38" s="229"/>
      <c r="E38" s="206">
        <f>'9-EVEGyD AJUST'!C38</f>
        <v>0</v>
      </c>
      <c r="F38" s="230"/>
      <c r="G38" s="206">
        <f>'10-EVEGyD IMPOSIT AJ'!C38</f>
        <v>0</v>
      </c>
      <c r="H38" s="230"/>
    </row>
    <row r="39" spans="1:8" ht="16.5" thickTop="1" thickBot="1" x14ac:dyDescent="0.3">
      <c r="A39" s="172"/>
      <c r="B39" s="172" t="s">
        <v>335</v>
      </c>
      <c r="C39" s="211">
        <f>SUM(C36:C38)</f>
        <v>245934.92817500001</v>
      </c>
      <c r="D39" s="227">
        <f>+C39/$C$50</f>
        <v>0.3484302062446244</v>
      </c>
      <c r="E39" s="211">
        <f>SUM(E36:E38)</f>
        <v>210889.59952500003</v>
      </c>
      <c r="F39" s="227">
        <f>+E39/$E$50</f>
        <v>0.34785707386585762</v>
      </c>
      <c r="G39" s="211">
        <f>SUM(G36:G38)</f>
        <v>222096.65343500001</v>
      </c>
      <c r="H39" s="227">
        <f>+G39/$G$50</f>
        <v>0.3482625521605886</v>
      </c>
    </row>
    <row r="40" spans="1:8" ht="15.75" thickTop="1" x14ac:dyDescent="0.25">
      <c r="A40" s="172">
        <v>8.4</v>
      </c>
      <c r="B40" s="173" t="s">
        <v>380</v>
      </c>
      <c r="C40" s="225"/>
      <c r="D40" s="228"/>
      <c r="E40" s="206"/>
      <c r="F40" s="228"/>
      <c r="G40" s="206"/>
      <c r="H40" s="228"/>
    </row>
    <row r="41" spans="1:8" x14ac:dyDescent="0.25">
      <c r="A41" s="172" t="s">
        <v>363</v>
      </c>
      <c r="B41" s="173" t="s">
        <v>364</v>
      </c>
      <c r="C41" s="206">
        <f>'8-EVEGyD HIST'!C41</f>
        <v>7677.4500000000116</v>
      </c>
      <c r="D41" s="207"/>
      <c r="E41" s="206">
        <f>'9-EVEGyD AJUST'!C41</f>
        <v>7907.7735000000102</v>
      </c>
      <c r="F41" s="207"/>
      <c r="G41" s="206">
        <f>'10-EVEGyD IMPOSIT AJ'!C41</f>
        <v>7677.4500000000116</v>
      </c>
      <c r="H41" s="207"/>
    </row>
    <row r="42" spans="1:8" x14ac:dyDescent="0.25">
      <c r="A42" s="172" t="s">
        <v>365</v>
      </c>
      <c r="B42" s="173" t="s">
        <v>366</v>
      </c>
      <c r="C42" s="206">
        <f>'8-EVEGyD HIST'!C42</f>
        <v>0</v>
      </c>
      <c r="D42" s="207"/>
      <c r="E42" s="206">
        <f>'9-EVEGyD AJUST'!C42</f>
        <v>0</v>
      </c>
      <c r="F42" s="207"/>
      <c r="G42" s="206">
        <f>'10-EVEGyD IMPOSIT AJ'!C42</f>
        <v>0</v>
      </c>
      <c r="H42" s="207"/>
    </row>
    <row r="43" spans="1:8" ht="15.75" thickBot="1" x14ac:dyDescent="0.3">
      <c r="A43" s="172" t="s">
        <v>367</v>
      </c>
      <c r="B43" s="173" t="s">
        <v>344</v>
      </c>
      <c r="C43" s="206">
        <f>'8-EVEGyD HIST'!C43</f>
        <v>0</v>
      </c>
      <c r="D43" s="229"/>
      <c r="E43" s="206">
        <f>'9-EVEGyD AJUST'!C43</f>
        <v>0</v>
      </c>
      <c r="F43" s="230"/>
      <c r="G43" s="206">
        <f>'10-EVEGyD IMPOSIT AJ'!C43</f>
        <v>0</v>
      </c>
      <c r="H43" s="230"/>
    </row>
    <row r="44" spans="1:8" ht="16.5" thickTop="1" thickBot="1" x14ac:dyDescent="0.3">
      <c r="A44" s="172"/>
      <c r="B44" s="172" t="s">
        <v>335</v>
      </c>
      <c r="C44" s="211">
        <f>SUM(C41:C43)</f>
        <v>7677.4500000000116</v>
      </c>
      <c r="D44" s="227">
        <f>+C44/$C$50</f>
        <v>1.0877086499195044E-2</v>
      </c>
      <c r="E44" s="211">
        <f>SUM(E41:E43)</f>
        <v>7907.7735000000102</v>
      </c>
      <c r="F44" s="227">
        <f>+E44/$E$50</f>
        <v>1.3043672882397802E-2</v>
      </c>
      <c r="G44" s="211">
        <f>SUM(G41:G43)</f>
        <v>7677.4500000000116</v>
      </c>
      <c r="H44" s="227">
        <f>+G44/$G$50</f>
        <v>1.2038760106161771E-2</v>
      </c>
    </row>
    <row r="45" spans="1:8" ht="15.75" thickTop="1" x14ac:dyDescent="0.25">
      <c r="A45" s="172">
        <v>8.5</v>
      </c>
      <c r="B45" s="173" t="s">
        <v>368</v>
      </c>
      <c r="C45" s="225"/>
      <c r="D45" s="228"/>
      <c r="E45" s="206"/>
      <c r="F45" s="228"/>
      <c r="G45" s="206"/>
      <c r="H45" s="228"/>
    </row>
    <row r="46" spans="1:8" x14ac:dyDescent="0.25">
      <c r="A46" s="172" t="s">
        <v>369</v>
      </c>
      <c r="B46" s="173" t="s">
        <v>381</v>
      </c>
      <c r="C46" s="206">
        <f>'8-EVEGyD HIST'!C46</f>
        <v>178374.61232500005</v>
      </c>
      <c r="D46" s="207"/>
      <c r="E46" s="206">
        <f>'9-EVEGyD AJUST'!C46</f>
        <v>85317.216075000018</v>
      </c>
      <c r="F46" s="207"/>
      <c r="G46" s="206">
        <f>'10-EVEGyD IMPOSIT AJ'!C46</f>
        <v>134103.53066500006</v>
      </c>
      <c r="H46" s="207"/>
    </row>
    <row r="47" spans="1:8" x14ac:dyDescent="0.25">
      <c r="A47" s="172" t="s">
        <v>370</v>
      </c>
      <c r="B47" s="173" t="s">
        <v>382</v>
      </c>
      <c r="C47" s="206">
        <f>'8-EVEGyD HIST'!C47</f>
        <v>0</v>
      </c>
      <c r="D47" s="207"/>
      <c r="E47" s="206">
        <f>'9-EVEGyD AJUST'!C47</f>
        <v>0</v>
      </c>
      <c r="F47" s="207"/>
      <c r="G47" s="206">
        <f>'10-EVEGyD IMPOSIT AJ'!C47</f>
        <v>0</v>
      </c>
      <c r="H47" s="207"/>
    </row>
    <row r="48" spans="1:8" ht="15.75" thickBot="1" x14ac:dyDescent="0.3">
      <c r="A48" s="172">
        <v>8.6</v>
      </c>
      <c r="B48" s="173" t="s">
        <v>344</v>
      </c>
      <c r="C48" s="206">
        <f>'8-EVEGyD HIST'!C48</f>
        <v>0</v>
      </c>
      <c r="D48" s="229"/>
      <c r="E48" s="206">
        <f>'9-EVEGyD AJUST'!C48</f>
        <v>0</v>
      </c>
      <c r="F48" s="230"/>
      <c r="G48" s="206">
        <f>'10-EVEGyD IMPOSIT AJ'!C48</f>
        <v>0</v>
      </c>
      <c r="H48" s="230"/>
    </row>
    <row r="49" spans="1:8" ht="16.5" thickTop="1" thickBot="1" x14ac:dyDescent="0.3">
      <c r="A49" s="172"/>
      <c r="B49" s="172" t="s">
        <v>335</v>
      </c>
      <c r="C49" s="211">
        <f>SUM(C46:C48)</f>
        <v>178374.61232500005</v>
      </c>
      <c r="D49" s="227">
        <f>+C49/$C$50</f>
        <v>0.25271360771081608</v>
      </c>
      <c r="E49" s="211">
        <f>SUM(E46:E48)</f>
        <v>85317.216075000018</v>
      </c>
      <c r="F49" s="227">
        <f>+E49/$E$50</f>
        <v>0.14072859544082161</v>
      </c>
      <c r="G49" s="211">
        <f>SUM(G46:G48)</f>
        <v>134103.53066500006</v>
      </c>
      <c r="H49" s="227">
        <f>+G49/$G$50</f>
        <v>0.21028339293192949</v>
      </c>
    </row>
    <row r="50" spans="1:8" ht="16.5" thickTop="1" thickBot="1" x14ac:dyDescent="0.3">
      <c r="A50" s="178"/>
      <c r="B50" s="179" t="s">
        <v>383</v>
      </c>
      <c r="C50" s="232">
        <f>+C30+C34+C39+C44+C49</f>
        <v>705836.99050000007</v>
      </c>
      <c r="D50" s="227">
        <f>+C50/$C$50</f>
        <v>1</v>
      </c>
      <c r="E50" s="232">
        <f>+E30+E34+E39+E44+E49</f>
        <v>606253.5891000001</v>
      </c>
      <c r="F50" s="227">
        <f>+E50/$E$50</f>
        <v>1</v>
      </c>
      <c r="G50" s="232">
        <f>+G30+G34+G39+G44+G49</f>
        <v>637727.63410000002</v>
      </c>
      <c r="H50" s="227">
        <f>+G50/$G$50</f>
        <v>1</v>
      </c>
    </row>
    <row r="51" spans="1:8" ht="15.75" thickTop="1" x14ac:dyDescent="0.25"/>
    <row r="53" spans="1:8" x14ac:dyDescent="0.25">
      <c r="C53" s="185">
        <f>+C24-C50</f>
        <v>0</v>
      </c>
      <c r="D53" s="226"/>
      <c r="E53" s="185">
        <f t="shared" ref="E53:G53" si="6">+E24-E50</f>
        <v>0</v>
      </c>
      <c r="F53" s="226"/>
      <c r="G53" s="185">
        <f t="shared" si="6"/>
        <v>0</v>
      </c>
      <c r="H53" s="226"/>
    </row>
  </sheetData>
  <sheetProtection sheet="1" objects="1" scenarios="1"/>
  <pageMargins left="0.70866141732283472" right="0.31496062992125984" top="0.74803149606299213" bottom="0.74803149606299213" header="0.31496062992125984" footer="0.31496062992125984"/>
  <pageSetup paperSize="9" scale="83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39"/>
  <sheetViews>
    <sheetView workbookViewId="0"/>
  </sheetViews>
  <sheetFormatPr baseColWidth="10" defaultRowHeight="15" x14ac:dyDescent="0.25"/>
  <sheetData>
    <row r="1" spans="2:2" x14ac:dyDescent="0.25">
      <c r="B1" s="45" t="s">
        <v>385</v>
      </c>
    </row>
    <row r="20" spans="2:2" x14ac:dyDescent="0.25">
      <c r="B20" s="45" t="s">
        <v>386</v>
      </c>
    </row>
    <row r="39" spans="2:2" x14ac:dyDescent="0.25">
      <c r="B39" s="45" t="s">
        <v>387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8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1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P3" sqref="P3"/>
    </sheetView>
  </sheetViews>
  <sheetFormatPr baseColWidth="10" defaultRowHeight="15" x14ac:dyDescent="0.25"/>
  <cols>
    <col min="1" max="1" width="27.85546875" customWidth="1"/>
    <col min="2" max="14" width="10.85546875" bestFit="1" customWidth="1"/>
    <col min="15" max="15" width="14.85546875" style="45" bestFit="1" customWidth="1"/>
    <col min="16" max="16" width="17.7109375" bestFit="1" customWidth="1"/>
    <col min="17" max="17" width="12.42578125" bestFit="1" customWidth="1"/>
    <col min="19" max="19" width="11.7109375" bestFit="1" customWidth="1"/>
  </cols>
  <sheetData>
    <row r="1" spans="1:16" x14ac:dyDescent="0.25">
      <c r="A1" s="139" t="s">
        <v>36</v>
      </c>
      <c r="B1" s="293">
        <v>42705</v>
      </c>
      <c r="C1" s="293">
        <v>42736</v>
      </c>
      <c r="D1" s="293">
        <v>42767</v>
      </c>
      <c r="E1" s="293">
        <v>42795</v>
      </c>
      <c r="F1" s="293">
        <v>42826</v>
      </c>
      <c r="G1" s="293">
        <v>42856</v>
      </c>
      <c r="H1" s="293">
        <v>42887</v>
      </c>
      <c r="I1" s="293">
        <v>42917</v>
      </c>
      <c r="J1" s="293">
        <v>42948</v>
      </c>
      <c r="K1" s="293">
        <v>42979</v>
      </c>
      <c r="L1" s="293">
        <v>43009</v>
      </c>
      <c r="M1" s="293">
        <v>43040</v>
      </c>
      <c r="N1" s="293">
        <v>43070</v>
      </c>
    </row>
    <row r="2" spans="1:16" x14ac:dyDescent="0.25">
      <c r="A2" s="98" t="s">
        <v>32</v>
      </c>
      <c r="B2" s="312">
        <v>400</v>
      </c>
      <c r="C2" s="313">
        <v>150</v>
      </c>
      <c r="D2" s="313">
        <v>130</v>
      </c>
      <c r="E2" s="313">
        <v>120</v>
      </c>
      <c r="F2" s="313">
        <v>140</v>
      </c>
      <c r="G2" s="313">
        <v>80</v>
      </c>
      <c r="H2" s="313">
        <v>160</v>
      </c>
      <c r="I2" s="313">
        <v>150</v>
      </c>
      <c r="J2" s="313">
        <v>150</v>
      </c>
      <c r="K2" s="313">
        <v>160</v>
      </c>
      <c r="L2" s="313">
        <v>160</v>
      </c>
      <c r="M2" s="313">
        <v>180</v>
      </c>
      <c r="N2" s="313">
        <v>195</v>
      </c>
      <c r="O2" s="43">
        <f>SUM(B2:N2)</f>
        <v>2175</v>
      </c>
    </row>
    <row r="3" spans="1:16" s="3" customFormat="1" x14ac:dyDescent="0.25">
      <c r="A3" s="100" t="s">
        <v>56</v>
      </c>
      <c r="B3" s="314">
        <v>562</v>
      </c>
      <c r="C3" s="315">
        <v>570</v>
      </c>
      <c r="D3" s="315">
        <v>570</v>
      </c>
      <c r="E3" s="315">
        <v>595</v>
      </c>
      <c r="F3" s="315">
        <v>595</v>
      </c>
      <c r="G3" s="315">
        <v>600</v>
      </c>
      <c r="H3" s="315">
        <v>630</v>
      </c>
      <c r="I3" s="315">
        <v>645</v>
      </c>
      <c r="J3" s="315">
        <v>670</v>
      </c>
      <c r="K3" s="315">
        <v>690</v>
      </c>
      <c r="L3" s="315">
        <v>690</v>
      </c>
      <c r="M3" s="315">
        <v>705</v>
      </c>
      <c r="N3" s="315">
        <v>730</v>
      </c>
      <c r="O3" s="61"/>
    </row>
    <row r="4" spans="1:16" s="43" customFormat="1" x14ac:dyDescent="0.25">
      <c r="A4" s="140" t="s">
        <v>40</v>
      </c>
      <c r="B4" s="294">
        <f>+B2*B3</f>
        <v>224800</v>
      </c>
      <c r="C4" s="140">
        <f>+C2*C3</f>
        <v>85500</v>
      </c>
      <c r="D4" s="140">
        <f t="shared" ref="D4:N4" si="0">+D2*D3</f>
        <v>74100</v>
      </c>
      <c r="E4" s="140">
        <f t="shared" si="0"/>
        <v>71400</v>
      </c>
      <c r="F4" s="140">
        <f t="shared" si="0"/>
        <v>83300</v>
      </c>
      <c r="G4" s="294">
        <f t="shared" si="0"/>
        <v>48000</v>
      </c>
      <c r="H4" s="294">
        <f t="shared" si="0"/>
        <v>100800</v>
      </c>
      <c r="I4" s="294">
        <f t="shared" si="0"/>
        <v>96750</v>
      </c>
      <c r="J4" s="294">
        <f t="shared" si="0"/>
        <v>100500</v>
      </c>
      <c r="K4" s="294">
        <f t="shared" si="0"/>
        <v>110400</v>
      </c>
      <c r="L4" s="294">
        <f t="shared" si="0"/>
        <v>110400</v>
      </c>
      <c r="M4" s="294">
        <f t="shared" si="0"/>
        <v>126900</v>
      </c>
      <c r="N4" s="294">
        <f t="shared" si="0"/>
        <v>142350</v>
      </c>
      <c r="O4" s="52">
        <f>SUM(B4:N4)</f>
        <v>1375200</v>
      </c>
      <c r="P4" s="52"/>
    </row>
    <row r="5" spans="1:16" s="43" customFormat="1" x14ac:dyDescent="0.25">
      <c r="A5" s="140" t="s">
        <v>37</v>
      </c>
      <c r="B5" s="294"/>
      <c r="C5" s="140">
        <f>+C4*0.21</f>
        <v>17955</v>
      </c>
      <c r="D5" s="140">
        <f t="shared" ref="D5:N5" si="1">+D4*0.21</f>
        <v>15561</v>
      </c>
      <c r="E5" s="140">
        <f t="shared" si="1"/>
        <v>14994</v>
      </c>
      <c r="F5" s="140">
        <f t="shared" si="1"/>
        <v>17493</v>
      </c>
      <c r="G5" s="294">
        <f t="shared" si="1"/>
        <v>10080</v>
      </c>
      <c r="H5" s="294">
        <f t="shared" si="1"/>
        <v>21168</v>
      </c>
      <c r="I5" s="294">
        <f t="shared" si="1"/>
        <v>20317.5</v>
      </c>
      <c r="J5" s="294">
        <f t="shared" si="1"/>
        <v>21105</v>
      </c>
      <c r="K5" s="294">
        <f t="shared" si="1"/>
        <v>23184</v>
      </c>
      <c r="L5" s="294">
        <f t="shared" si="1"/>
        <v>23184</v>
      </c>
      <c r="M5" s="294">
        <f t="shared" si="1"/>
        <v>26649</v>
      </c>
      <c r="N5" s="294">
        <f t="shared" si="1"/>
        <v>29893.5</v>
      </c>
      <c r="O5" s="42"/>
    </row>
    <row r="6" spans="1:16" x14ac:dyDescent="0.25">
      <c r="A6" s="98" t="s">
        <v>31</v>
      </c>
      <c r="B6" s="98"/>
      <c r="C6" s="313">
        <v>139</v>
      </c>
      <c r="D6" s="313">
        <v>123</v>
      </c>
      <c r="E6" s="313">
        <v>107</v>
      </c>
      <c r="F6" s="313">
        <v>138</v>
      </c>
      <c r="G6" s="313">
        <v>125</v>
      </c>
      <c r="H6" s="313">
        <v>146</v>
      </c>
      <c r="I6" s="313">
        <v>164</v>
      </c>
      <c r="J6" s="313">
        <v>160</v>
      </c>
      <c r="K6" s="313">
        <v>159</v>
      </c>
      <c r="L6" s="313">
        <v>163</v>
      </c>
      <c r="M6" s="313">
        <v>169</v>
      </c>
      <c r="N6" s="313">
        <v>188</v>
      </c>
      <c r="O6" s="43">
        <f>SUM(C6:N6)</f>
        <v>1781</v>
      </c>
    </row>
    <row r="7" spans="1:16" s="3" customFormat="1" x14ac:dyDescent="0.25">
      <c r="A7" s="100" t="s">
        <v>56</v>
      </c>
      <c r="B7" s="100"/>
      <c r="C7" s="315">
        <v>1026</v>
      </c>
      <c r="D7" s="315">
        <v>1026</v>
      </c>
      <c r="E7" s="315">
        <v>1071</v>
      </c>
      <c r="F7" s="315">
        <v>1071</v>
      </c>
      <c r="G7" s="315">
        <v>1080</v>
      </c>
      <c r="H7" s="315">
        <v>1134</v>
      </c>
      <c r="I7" s="315">
        <v>1161</v>
      </c>
      <c r="J7" s="315">
        <v>1206</v>
      </c>
      <c r="K7" s="315">
        <v>1242</v>
      </c>
      <c r="L7" s="315">
        <v>1242</v>
      </c>
      <c r="M7" s="315">
        <v>1269</v>
      </c>
      <c r="N7" s="315">
        <v>1314</v>
      </c>
      <c r="O7" s="61">
        <f>2175-1781</f>
        <v>394</v>
      </c>
    </row>
    <row r="8" spans="1:16" s="41" customFormat="1" x14ac:dyDescent="0.25">
      <c r="A8" s="140" t="s">
        <v>57</v>
      </c>
      <c r="B8" s="140"/>
      <c r="C8" s="294">
        <f>+C6*C7</f>
        <v>142614</v>
      </c>
      <c r="D8" s="294">
        <f t="shared" ref="D8:N8" si="2">+D6*D7</f>
        <v>126198</v>
      </c>
      <c r="E8" s="294">
        <f t="shared" si="2"/>
        <v>114597</v>
      </c>
      <c r="F8" s="294">
        <f t="shared" si="2"/>
        <v>147798</v>
      </c>
      <c r="G8" s="294">
        <f t="shared" si="2"/>
        <v>135000</v>
      </c>
      <c r="H8" s="294">
        <f t="shared" si="2"/>
        <v>165564</v>
      </c>
      <c r="I8" s="294">
        <f t="shared" si="2"/>
        <v>190404</v>
      </c>
      <c r="J8" s="294">
        <f t="shared" si="2"/>
        <v>192960</v>
      </c>
      <c r="K8" s="294">
        <f t="shared" si="2"/>
        <v>197478</v>
      </c>
      <c r="L8" s="294">
        <f t="shared" si="2"/>
        <v>202446</v>
      </c>
      <c r="M8" s="294">
        <f t="shared" si="2"/>
        <v>214461</v>
      </c>
      <c r="N8" s="294">
        <f t="shared" si="2"/>
        <v>247032</v>
      </c>
      <c r="O8" s="42"/>
    </row>
    <row r="9" spans="1:16" s="41" customFormat="1" x14ac:dyDescent="0.25">
      <c r="A9" s="140" t="s">
        <v>38</v>
      </c>
      <c r="B9" s="140"/>
      <c r="C9" s="294">
        <f>+C8*0.21</f>
        <v>29948.94</v>
      </c>
      <c r="D9" s="294">
        <f t="shared" ref="D9:N9" si="3">+D8*0.21</f>
        <v>26501.579999999998</v>
      </c>
      <c r="E9" s="294">
        <f t="shared" si="3"/>
        <v>24065.37</v>
      </c>
      <c r="F9" s="294">
        <f t="shared" si="3"/>
        <v>31037.579999999998</v>
      </c>
      <c r="G9" s="294">
        <f t="shared" si="3"/>
        <v>28350</v>
      </c>
      <c r="H9" s="294">
        <f t="shared" si="3"/>
        <v>34768.44</v>
      </c>
      <c r="I9" s="294">
        <f t="shared" si="3"/>
        <v>39984.839999999997</v>
      </c>
      <c r="J9" s="294">
        <f t="shared" si="3"/>
        <v>40521.599999999999</v>
      </c>
      <c r="K9" s="294">
        <f t="shared" si="3"/>
        <v>41470.379999999997</v>
      </c>
      <c r="L9" s="294">
        <f t="shared" si="3"/>
        <v>42513.659999999996</v>
      </c>
      <c r="M9" s="294">
        <f t="shared" si="3"/>
        <v>45036.81</v>
      </c>
      <c r="N9" s="294">
        <f t="shared" si="3"/>
        <v>51876.72</v>
      </c>
      <c r="O9" s="42"/>
    </row>
    <row r="10" spans="1:16" s="40" customFormat="1" x14ac:dyDescent="0.25">
      <c r="A10" s="141" t="s">
        <v>60</v>
      </c>
      <c r="B10" s="141"/>
      <c r="C10" s="295">
        <f>+C9-C5</f>
        <v>11993.939999999999</v>
      </c>
      <c r="D10" s="295">
        <f t="shared" ref="D10:N10" si="4">+D9-D5</f>
        <v>10940.579999999998</v>
      </c>
      <c r="E10" s="295">
        <f t="shared" si="4"/>
        <v>9071.369999999999</v>
      </c>
      <c r="F10" s="295">
        <f t="shared" si="4"/>
        <v>13544.579999999998</v>
      </c>
      <c r="G10" s="295">
        <f t="shared" si="4"/>
        <v>18270</v>
      </c>
      <c r="H10" s="295">
        <f t="shared" si="4"/>
        <v>13600.440000000002</v>
      </c>
      <c r="I10" s="295">
        <f t="shared" si="4"/>
        <v>19667.339999999997</v>
      </c>
      <c r="J10" s="295">
        <f t="shared" si="4"/>
        <v>19416.599999999999</v>
      </c>
      <c r="K10" s="295">
        <f t="shared" si="4"/>
        <v>18286.379999999997</v>
      </c>
      <c r="L10" s="295">
        <f t="shared" si="4"/>
        <v>19329.659999999996</v>
      </c>
      <c r="M10" s="295">
        <f t="shared" si="4"/>
        <v>18387.809999999998</v>
      </c>
      <c r="N10" s="295">
        <f t="shared" si="4"/>
        <v>21983.22</v>
      </c>
      <c r="O10" s="39"/>
    </row>
    <row r="11" spans="1:16" s="41" customFormat="1" x14ac:dyDescent="0.25">
      <c r="A11" s="142" t="s">
        <v>58</v>
      </c>
      <c r="B11" s="296">
        <f>+B3</f>
        <v>562</v>
      </c>
      <c r="C11" s="296">
        <f t="shared" ref="C11:N11" si="5">+C3</f>
        <v>570</v>
      </c>
      <c r="D11" s="296">
        <f t="shared" si="5"/>
        <v>570</v>
      </c>
      <c r="E11" s="296">
        <f t="shared" si="5"/>
        <v>595</v>
      </c>
      <c r="F11" s="296">
        <f t="shared" si="5"/>
        <v>595</v>
      </c>
      <c r="G11" s="296">
        <f t="shared" si="5"/>
        <v>600</v>
      </c>
      <c r="H11" s="296">
        <f t="shared" si="5"/>
        <v>630</v>
      </c>
      <c r="I11" s="296">
        <f t="shared" si="5"/>
        <v>645</v>
      </c>
      <c r="J11" s="296">
        <f t="shared" si="5"/>
        <v>670</v>
      </c>
      <c r="K11" s="296">
        <f t="shared" si="5"/>
        <v>690</v>
      </c>
      <c r="L11" s="296">
        <f t="shared" si="5"/>
        <v>690</v>
      </c>
      <c r="M11" s="296">
        <f t="shared" si="5"/>
        <v>705</v>
      </c>
      <c r="N11" s="296">
        <f t="shared" si="5"/>
        <v>730</v>
      </c>
    </row>
    <row r="12" spans="1:16" s="41" customFormat="1" x14ac:dyDescent="0.25">
      <c r="A12" s="142" t="s">
        <v>80</v>
      </c>
      <c r="B12" s="142"/>
      <c r="C12" s="296">
        <f>+C8-C4</f>
        <v>57114</v>
      </c>
      <c r="D12" s="296">
        <f t="shared" ref="D12:N12" si="6">+D8-D4</f>
        <v>52098</v>
      </c>
      <c r="E12" s="296">
        <f t="shared" si="6"/>
        <v>43197</v>
      </c>
      <c r="F12" s="296">
        <f t="shared" si="6"/>
        <v>64498</v>
      </c>
      <c r="G12" s="296">
        <f t="shared" si="6"/>
        <v>87000</v>
      </c>
      <c r="H12" s="296">
        <f t="shared" si="6"/>
        <v>64764</v>
      </c>
      <c r="I12" s="296">
        <f t="shared" si="6"/>
        <v>93654</v>
      </c>
      <c r="J12" s="296">
        <f t="shared" si="6"/>
        <v>92460</v>
      </c>
      <c r="K12" s="296">
        <f t="shared" si="6"/>
        <v>87078</v>
      </c>
      <c r="L12" s="296">
        <f t="shared" si="6"/>
        <v>92046</v>
      </c>
      <c r="M12" s="296">
        <f t="shared" si="6"/>
        <v>87561</v>
      </c>
      <c r="N12" s="296">
        <f t="shared" si="6"/>
        <v>104682</v>
      </c>
    </row>
    <row r="13" spans="1:16" s="38" customFormat="1" x14ac:dyDescent="0.25">
      <c r="A13" s="99" t="s">
        <v>39</v>
      </c>
      <c r="B13" s="99"/>
      <c r="C13" s="316">
        <v>8000</v>
      </c>
      <c r="D13" s="316">
        <v>8000</v>
      </c>
      <c r="E13" s="316">
        <v>8000</v>
      </c>
      <c r="F13" s="316">
        <v>8000</v>
      </c>
      <c r="G13" s="316">
        <v>8000</v>
      </c>
      <c r="H13" s="316">
        <v>8000</v>
      </c>
      <c r="I13" s="316">
        <v>8800</v>
      </c>
      <c r="J13" s="316">
        <v>8800</v>
      </c>
      <c r="K13" s="316">
        <v>8800</v>
      </c>
      <c r="L13" s="316">
        <v>8800</v>
      </c>
      <c r="M13" s="316">
        <v>8800</v>
      </c>
      <c r="N13" s="316">
        <v>8800</v>
      </c>
      <c r="O13" s="51">
        <f>SUM(C13:N13)</f>
        <v>100800</v>
      </c>
    </row>
    <row r="14" spans="1:16" s="41" customFormat="1" x14ac:dyDescent="0.25">
      <c r="A14" s="138" t="s">
        <v>41</v>
      </c>
      <c r="B14" s="138"/>
      <c r="C14" s="297">
        <f>+C13*0.21</f>
        <v>1680</v>
      </c>
      <c r="D14" s="297">
        <f t="shared" ref="D14:N14" si="7">+D13*0.21</f>
        <v>1680</v>
      </c>
      <c r="E14" s="297">
        <f t="shared" si="7"/>
        <v>1680</v>
      </c>
      <c r="F14" s="297">
        <f t="shared" si="7"/>
        <v>1680</v>
      </c>
      <c r="G14" s="297">
        <f t="shared" si="7"/>
        <v>1680</v>
      </c>
      <c r="H14" s="297">
        <f t="shared" si="7"/>
        <v>1680</v>
      </c>
      <c r="I14" s="297">
        <f t="shared" si="7"/>
        <v>1848</v>
      </c>
      <c r="J14" s="297">
        <f t="shared" si="7"/>
        <v>1848</v>
      </c>
      <c r="K14" s="297">
        <f t="shared" si="7"/>
        <v>1848</v>
      </c>
      <c r="L14" s="297">
        <f t="shared" si="7"/>
        <v>1848</v>
      </c>
      <c r="M14" s="297">
        <f t="shared" si="7"/>
        <v>1848</v>
      </c>
      <c r="N14" s="297">
        <f t="shared" si="7"/>
        <v>1848</v>
      </c>
      <c r="O14" s="51">
        <f>SUM(C14:N14)</f>
        <v>21168</v>
      </c>
      <c r="P14" s="51">
        <f>+O13+O14</f>
        <v>121968</v>
      </c>
    </row>
    <row r="15" spans="1:16" x14ac:dyDescent="0.25">
      <c r="A15" s="98" t="s">
        <v>61</v>
      </c>
      <c r="B15" s="98"/>
      <c r="C15" s="315">
        <v>10000</v>
      </c>
      <c r="D15" s="315">
        <v>10000</v>
      </c>
      <c r="E15" s="315">
        <v>10000</v>
      </c>
      <c r="F15" s="315">
        <v>10000</v>
      </c>
      <c r="G15" s="315">
        <v>10000</v>
      </c>
      <c r="H15" s="315">
        <v>15000</v>
      </c>
      <c r="I15" s="315">
        <v>10000</v>
      </c>
      <c r="J15" s="315">
        <v>11500</v>
      </c>
      <c r="K15" s="315">
        <v>11500</v>
      </c>
      <c r="L15" s="315">
        <v>11500</v>
      </c>
      <c r="M15" s="315">
        <v>11500</v>
      </c>
      <c r="N15" s="315">
        <v>17250</v>
      </c>
    </row>
    <row r="16" spans="1:16" s="43" customFormat="1" x14ac:dyDescent="0.25">
      <c r="A16" s="143" t="s">
        <v>64</v>
      </c>
      <c r="B16" s="143"/>
      <c r="C16" s="298">
        <f t="shared" ref="C16:N16" si="8">+C15*0.33</f>
        <v>3300</v>
      </c>
      <c r="D16" s="298">
        <f t="shared" si="8"/>
        <v>3300</v>
      </c>
      <c r="E16" s="298">
        <f t="shared" si="8"/>
        <v>3300</v>
      </c>
      <c r="F16" s="298">
        <f t="shared" si="8"/>
        <v>3300</v>
      </c>
      <c r="G16" s="298">
        <f t="shared" si="8"/>
        <v>3300</v>
      </c>
      <c r="H16" s="298">
        <f t="shared" si="8"/>
        <v>4950</v>
      </c>
      <c r="I16" s="298">
        <f t="shared" si="8"/>
        <v>3300</v>
      </c>
      <c r="J16" s="298">
        <f t="shared" si="8"/>
        <v>3795</v>
      </c>
      <c r="K16" s="298">
        <f t="shared" si="8"/>
        <v>3795</v>
      </c>
      <c r="L16" s="298">
        <f t="shared" si="8"/>
        <v>3795</v>
      </c>
      <c r="M16" s="298">
        <f t="shared" si="8"/>
        <v>3795</v>
      </c>
      <c r="N16" s="298">
        <f t="shared" si="8"/>
        <v>5692.5</v>
      </c>
    </row>
    <row r="17" spans="1:15" x14ac:dyDescent="0.25">
      <c r="A17" s="98" t="s">
        <v>62</v>
      </c>
      <c r="B17" s="98"/>
      <c r="C17" s="315">
        <v>8000</v>
      </c>
      <c r="D17" s="315">
        <v>8000</v>
      </c>
      <c r="E17" s="315">
        <v>8000</v>
      </c>
      <c r="F17" s="315">
        <v>8000</v>
      </c>
      <c r="G17" s="315">
        <v>8000</v>
      </c>
      <c r="H17" s="315">
        <v>12000</v>
      </c>
      <c r="I17" s="315">
        <v>8000</v>
      </c>
      <c r="J17" s="315">
        <v>9200</v>
      </c>
      <c r="K17" s="315">
        <v>9200</v>
      </c>
      <c r="L17" s="315">
        <v>9200</v>
      </c>
      <c r="M17" s="315">
        <v>9200</v>
      </c>
      <c r="N17" s="315">
        <v>13800</v>
      </c>
    </row>
    <row r="18" spans="1:15" s="43" customFormat="1" x14ac:dyDescent="0.25">
      <c r="A18" s="143" t="s">
        <v>63</v>
      </c>
      <c r="B18" s="143"/>
      <c r="C18" s="298">
        <f t="shared" ref="C18:N18" si="9">+C17*0.33</f>
        <v>2640</v>
      </c>
      <c r="D18" s="298">
        <f t="shared" si="9"/>
        <v>2640</v>
      </c>
      <c r="E18" s="298">
        <f t="shared" si="9"/>
        <v>2640</v>
      </c>
      <c r="F18" s="298">
        <f t="shared" si="9"/>
        <v>2640</v>
      </c>
      <c r="G18" s="298">
        <f t="shared" si="9"/>
        <v>2640</v>
      </c>
      <c r="H18" s="298">
        <f t="shared" si="9"/>
        <v>3960</v>
      </c>
      <c r="I18" s="298">
        <f t="shared" si="9"/>
        <v>2640</v>
      </c>
      <c r="J18" s="298">
        <f t="shared" si="9"/>
        <v>3036</v>
      </c>
      <c r="K18" s="298">
        <f t="shared" si="9"/>
        <v>3036</v>
      </c>
      <c r="L18" s="298">
        <f t="shared" si="9"/>
        <v>3036</v>
      </c>
      <c r="M18" s="298">
        <f t="shared" si="9"/>
        <v>3036</v>
      </c>
      <c r="N18" s="298">
        <f t="shared" si="9"/>
        <v>4554</v>
      </c>
    </row>
    <row r="19" spans="1:15" x14ac:dyDescent="0.25">
      <c r="A19" s="98" t="s">
        <v>29</v>
      </c>
      <c r="B19" s="98"/>
      <c r="C19" s="315">
        <v>2350</v>
      </c>
      <c r="D19" s="315">
        <v>2115</v>
      </c>
      <c r="E19" s="315">
        <v>2445</v>
      </c>
      <c r="F19" s="315">
        <v>2673</v>
      </c>
      <c r="G19" s="315">
        <v>2594</v>
      </c>
      <c r="H19" s="315">
        <v>2301</v>
      </c>
      <c r="I19" s="315">
        <v>2456</v>
      </c>
      <c r="J19" s="315">
        <v>2780</v>
      </c>
      <c r="K19" s="315">
        <v>2863</v>
      </c>
      <c r="L19" s="315">
        <v>2934</v>
      </c>
      <c r="M19" s="315">
        <v>2967</v>
      </c>
      <c r="N19" s="315">
        <v>3140</v>
      </c>
    </row>
    <row r="20" spans="1:15" x14ac:dyDescent="0.25">
      <c r="A20" s="98" t="s">
        <v>30</v>
      </c>
      <c r="B20" s="98"/>
      <c r="C20" s="311">
        <v>201</v>
      </c>
      <c r="D20" s="311">
        <v>235</v>
      </c>
      <c r="E20" s="311">
        <v>223</v>
      </c>
      <c r="F20" s="311">
        <v>215</v>
      </c>
      <c r="G20" s="311">
        <v>259</v>
      </c>
      <c r="H20" s="311">
        <v>242</v>
      </c>
      <c r="I20" s="311">
        <v>234</v>
      </c>
      <c r="J20" s="311">
        <v>247</v>
      </c>
      <c r="K20" s="311">
        <v>238</v>
      </c>
      <c r="L20" s="311">
        <v>251</v>
      </c>
      <c r="M20" s="311">
        <v>257</v>
      </c>
      <c r="N20" s="311">
        <v>261</v>
      </c>
    </row>
    <row r="21" spans="1:15" x14ac:dyDescent="0.25">
      <c r="A21" s="98" t="s">
        <v>65</v>
      </c>
      <c r="B21" s="98"/>
      <c r="C21" s="315">
        <v>12689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</row>
    <row r="22" spans="1:15" s="43" customFormat="1" x14ac:dyDescent="0.25">
      <c r="A22" s="143" t="s">
        <v>66</v>
      </c>
      <c r="B22" s="143"/>
      <c r="C22" s="298">
        <f>+C21*0.21</f>
        <v>2664.69</v>
      </c>
      <c r="D22" s="298">
        <f t="shared" ref="D22:N22" si="10">+D21*0.21</f>
        <v>0</v>
      </c>
      <c r="E22" s="298">
        <f t="shared" si="10"/>
        <v>0</v>
      </c>
      <c r="F22" s="298">
        <f t="shared" si="10"/>
        <v>0</v>
      </c>
      <c r="G22" s="298">
        <f t="shared" si="10"/>
        <v>0</v>
      </c>
      <c r="H22" s="298">
        <f t="shared" si="10"/>
        <v>0</v>
      </c>
      <c r="I22" s="298">
        <f t="shared" si="10"/>
        <v>0</v>
      </c>
      <c r="J22" s="298">
        <f t="shared" si="10"/>
        <v>0</v>
      </c>
      <c r="K22" s="298">
        <f t="shared" si="10"/>
        <v>0</v>
      </c>
      <c r="L22" s="298">
        <f t="shared" si="10"/>
        <v>0</v>
      </c>
      <c r="M22" s="298">
        <f t="shared" si="10"/>
        <v>0</v>
      </c>
      <c r="N22" s="298">
        <f t="shared" si="10"/>
        <v>0</v>
      </c>
    </row>
    <row r="23" spans="1:15" x14ac:dyDescent="0.25">
      <c r="A23" s="98" t="s">
        <v>42</v>
      </c>
      <c r="B23" s="98"/>
      <c r="C23" s="315">
        <v>3267</v>
      </c>
      <c r="D23" s="315">
        <v>2013</v>
      </c>
      <c r="E23" s="315">
        <v>1867</v>
      </c>
      <c r="F23" s="315">
        <v>1570</v>
      </c>
      <c r="G23" s="315">
        <v>1326</v>
      </c>
      <c r="H23" s="315">
        <v>1426</v>
      </c>
      <c r="I23" s="315">
        <v>1244</v>
      </c>
      <c r="J23" s="315">
        <v>1305</v>
      </c>
      <c r="K23" s="315">
        <v>1156</v>
      </c>
      <c r="L23" s="315">
        <v>1377</v>
      </c>
      <c r="M23" s="315">
        <v>1267</v>
      </c>
      <c r="N23" s="315">
        <v>1687</v>
      </c>
    </row>
    <row r="24" spans="1:15" s="43" customFormat="1" x14ac:dyDescent="0.25">
      <c r="A24" s="143" t="s">
        <v>43</v>
      </c>
      <c r="B24" s="143"/>
      <c r="C24" s="298">
        <f>+C23*0.21</f>
        <v>686.06999999999994</v>
      </c>
      <c r="D24" s="298">
        <f t="shared" ref="D24:N24" si="11">+D23*0.21</f>
        <v>422.72999999999996</v>
      </c>
      <c r="E24" s="298">
        <f t="shared" si="11"/>
        <v>392.07</v>
      </c>
      <c r="F24" s="298">
        <f t="shared" si="11"/>
        <v>329.7</v>
      </c>
      <c r="G24" s="298">
        <f t="shared" si="11"/>
        <v>278.45999999999998</v>
      </c>
      <c r="H24" s="298">
        <f t="shared" si="11"/>
        <v>299.45999999999998</v>
      </c>
      <c r="I24" s="298">
        <f t="shared" si="11"/>
        <v>261.24</v>
      </c>
      <c r="J24" s="298">
        <f t="shared" si="11"/>
        <v>274.05</v>
      </c>
      <c r="K24" s="298">
        <f t="shared" si="11"/>
        <v>242.76</v>
      </c>
      <c r="L24" s="298">
        <f t="shared" si="11"/>
        <v>289.17</v>
      </c>
      <c r="M24" s="298">
        <f t="shared" si="11"/>
        <v>266.07</v>
      </c>
      <c r="N24" s="298">
        <f t="shared" si="11"/>
        <v>354.27</v>
      </c>
    </row>
    <row r="25" spans="1:15" x14ac:dyDescent="0.25">
      <c r="A25" s="143" t="s">
        <v>33</v>
      </c>
      <c r="B25" s="98"/>
      <c r="C25" s="298">
        <f t="shared" ref="C25:N25" si="12">$B$51/60</f>
        <v>370.73333333333335</v>
      </c>
      <c r="D25" s="298">
        <f t="shared" si="12"/>
        <v>370.73333333333335</v>
      </c>
      <c r="E25" s="298">
        <f t="shared" si="12"/>
        <v>370.73333333333335</v>
      </c>
      <c r="F25" s="298">
        <f t="shared" si="12"/>
        <v>370.73333333333335</v>
      </c>
      <c r="G25" s="298">
        <f t="shared" si="12"/>
        <v>370.73333333333335</v>
      </c>
      <c r="H25" s="298">
        <f t="shared" si="12"/>
        <v>370.73333333333335</v>
      </c>
      <c r="I25" s="298">
        <f t="shared" si="12"/>
        <v>370.73333333333335</v>
      </c>
      <c r="J25" s="298">
        <f t="shared" si="12"/>
        <v>370.73333333333335</v>
      </c>
      <c r="K25" s="298">
        <f t="shared" si="12"/>
        <v>370.73333333333335</v>
      </c>
      <c r="L25" s="298">
        <f t="shared" si="12"/>
        <v>370.73333333333335</v>
      </c>
      <c r="M25" s="298">
        <f t="shared" si="12"/>
        <v>370.73333333333335</v>
      </c>
      <c r="N25" s="298">
        <f t="shared" si="12"/>
        <v>370.73333333333335</v>
      </c>
      <c r="O25" s="61"/>
    </row>
    <row r="26" spans="1:15" x14ac:dyDescent="0.25">
      <c r="A26" s="143" t="s">
        <v>34</v>
      </c>
      <c r="B26" s="98"/>
      <c r="C26" s="298">
        <f t="shared" ref="C26:N26" si="13">$B$52/120</f>
        <v>819.625</v>
      </c>
      <c r="D26" s="298">
        <f t="shared" si="13"/>
        <v>819.625</v>
      </c>
      <c r="E26" s="298">
        <f t="shared" si="13"/>
        <v>819.625</v>
      </c>
      <c r="F26" s="298">
        <f t="shared" si="13"/>
        <v>819.625</v>
      </c>
      <c r="G26" s="298">
        <f t="shared" si="13"/>
        <v>819.625</v>
      </c>
      <c r="H26" s="298">
        <f t="shared" si="13"/>
        <v>819.625</v>
      </c>
      <c r="I26" s="298">
        <f t="shared" si="13"/>
        <v>819.625</v>
      </c>
      <c r="J26" s="298">
        <f t="shared" si="13"/>
        <v>819.625</v>
      </c>
      <c r="K26" s="298">
        <f t="shared" si="13"/>
        <v>819.625</v>
      </c>
      <c r="L26" s="298">
        <f t="shared" si="13"/>
        <v>819.625</v>
      </c>
      <c r="M26" s="298">
        <f t="shared" si="13"/>
        <v>819.625</v>
      </c>
      <c r="N26" s="298">
        <f t="shared" si="13"/>
        <v>819.625</v>
      </c>
      <c r="O26" s="61"/>
    </row>
    <row r="27" spans="1:15" x14ac:dyDescent="0.25">
      <c r="A27" s="143" t="s">
        <v>35</v>
      </c>
      <c r="B27" s="98"/>
      <c r="C27" s="298">
        <f t="shared" ref="C27:N27" si="14">$B$53/60</f>
        <v>745.88333333333333</v>
      </c>
      <c r="D27" s="298">
        <f t="shared" si="14"/>
        <v>745.88333333333333</v>
      </c>
      <c r="E27" s="298">
        <f t="shared" si="14"/>
        <v>745.88333333333333</v>
      </c>
      <c r="F27" s="298">
        <f t="shared" si="14"/>
        <v>745.88333333333333</v>
      </c>
      <c r="G27" s="298">
        <f t="shared" si="14"/>
        <v>745.88333333333333</v>
      </c>
      <c r="H27" s="298">
        <f t="shared" si="14"/>
        <v>745.88333333333333</v>
      </c>
      <c r="I27" s="298">
        <f t="shared" si="14"/>
        <v>745.88333333333333</v>
      </c>
      <c r="J27" s="298">
        <f t="shared" si="14"/>
        <v>745.88333333333333</v>
      </c>
      <c r="K27" s="298">
        <f t="shared" si="14"/>
        <v>745.88333333333333</v>
      </c>
      <c r="L27" s="298">
        <f t="shared" si="14"/>
        <v>745.88333333333333</v>
      </c>
      <c r="M27" s="298">
        <f t="shared" si="14"/>
        <v>745.88333333333333</v>
      </c>
      <c r="N27" s="298">
        <f t="shared" si="14"/>
        <v>745.88333333333333</v>
      </c>
      <c r="O27" s="61"/>
    </row>
    <row r="28" spans="1:15" x14ac:dyDescent="0.25">
      <c r="A28" s="98" t="s">
        <v>44</v>
      </c>
      <c r="B28" s="98"/>
      <c r="C28" s="315">
        <v>1650</v>
      </c>
      <c r="D28" s="315">
        <v>1253</v>
      </c>
      <c r="E28" s="315">
        <v>1543</v>
      </c>
      <c r="F28" s="315">
        <v>1983</v>
      </c>
      <c r="G28" s="315">
        <v>1056</v>
      </c>
      <c r="H28" s="315">
        <v>3356</v>
      </c>
      <c r="I28" s="315">
        <v>1376</v>
      </c>
      <c r="J28" s="315">
        <v>2211</v>
      </c>
      <c r="K28" s="315">
        <v>2137</v>
      </c>
      <c r="L28" s="315">
        <v>2240</v>
      </c>
      <c r="M28" s="315">
        <v>2456</v>
      </c>
      <c r="N28" s="315">
        <v>2301</v>
      </c>
    </row>
    <row r="29" spans="1:15" s="43" customFormat="1" x14ac:dyDescent="0.25">
      <c r="A29" s="143" t="s">
        <v>45</v>
      </c>
      <c r="B29" s="143"/>
      <c r="C29" s="298">
        <f>+C28*0.21</f>
        <v>346.5</v>
      </c>
      <c r="D29" s="298">
        <f t="shared" ref="D29:N29" si="15">+D28*0.21</f>
        <v>263.13</v>
      </c>
      <c r="E29" s="298">
        <f t="shared" si="15"/>
        <v>324.02999999999997</v>
      </c>
      <c r="F29" s="298">
        <f t="shared" si="15"/>
        <v>416.43</v>
      </c>
      <c r="G29" s="298">
        <f t="shared" si="15"/>
        <v>221.76</v>
      </c>
      <c r="H29" s="298">
        <f t="shared" si="15"/>
        <v>704.76</v>
      </c>
      <c r="I29" s="298">
        <f t="shared" si="15"/>
        <v>288.95999999999998</v>
      </c>
      <c r="J29" s="298">
        <f t="shared" si="15"/>
        <v>464.31</v>
      </c>
      <c r="K29" s="298">
        <f t="shared" si="15"/>
        <v>448.77</v>
      </c>
      <c r="L29" s="298">
        <f t="shared" si="15"/>
        <v>470.4</v>
      </c>
      <c r="M29" s="298">
        <f t="shared" si="15"/>
        <v>515.76</v>
      </c>
      <c r="N29" s="298">
        <f t="shared" si="15"/>
        <v>483.21</v>
      </c>
    </row>
    <row r="30" spans="1:15" x14ac:dyDescent="0.25">
      <c r="A30" s="98" t="s">
        <v>46</v>
      </c>
      <c r="B30" s="98"/>
      <c r="C30" s="315">
        <v>2000</v>
      </c>
      <c r="D30" s="315">
        <v>2000</v>
      </c>
      <c r="E30" s="315">
        <v>2000</v>
      </c>
      <c r="F30" s="315">
        <v>2000</v>
      </c>
      <c r="G30" s="315">
        <v>2000</v>
      </c>
      <c r="H30" s="315">
        <v>2000</v>
      </c>
      <c r="I30" s="315">
        <v>2000</v>
      </c>
      <c r="J30" s="315">
        <v>2000</v>
      </c>
      <c r="K30" s="315">
        <v>2000</v>
      </c>
      <c r="L30" s="315">
        <v>2000</v>
      </c>
      <c r="M30" s="315">
        <v>2500</v>
      </c>
      <c r="N30" s="315">
        <v>2500</v>
      </c>
    </row>
    <row r="31" spans="1:15" x14ac:dyDescent="0.25">
      <c r="A31" s="143" t="s">
        <v>47</v>
      </c>
      <c r="B31" s="143"/>
      <c r="C31" s="298">
        <f>+C30*0.21</f>
        <v>420</v>
      </c>
      <c r="D31" s="298">
        <f t="shared" ref="D31:N31" si="16">+D30*0.21</f>
        <v>420</v>
      </c>
      <c r="E31" s="298">
        <f t="shared" si="16"/>
        <v>420</v>
      </c>
      <c r="F31" s="298">
        <f t="shared" si="16"/>
        <v>420</v>
      </c>
      <c r="G31" s="298">
        <f t="shared" si="16"/>
        <v>420</v>
      </c>
      <c r="H31" s="298">
        <f t="shared" si="16"/>
        <v>420</v>
      </c>
      <c r="I31" s="298">
        <f t="shared" si="16"/>
        <v>420</v>
      </c>
      <c r="J31" s="298">
        <f t="shared" si="16"/>
        <v>420</v>
      </c>
      <c r="K31" s="298">
        <f t="shared" si="16"/>
        <v>420</v>
      </c>
      <c r="L31" s="298">
        <f t="shared" si="16"/>
        <v>420</v>
      </c>
      <c r="M31" s="298">
        <f t="shared" si="16"/>
        <v>525</v>
      </c>
      <c r="N31" s="298">
        <f t="shared" si="16"/>
        <v>525</v>
      </c>
    </row>
    <row r="32" spans="1:15" x14ac:dyDescent="0.25">
      <c r="A32" s="143" t="s">
        <v>70</v>
      </c>
      <c r="B32" s="143"/>
      <c r="C32" s="298">
        <f>+C8*0.03</f>
        <v>4278.42</v>
      </c>
      <c r="D32" s="298">
        <f t="shared" ref="D32:N32" si="17">+D8*0.03</f>
        <v>3785.94</v>
      </c>
      <c r="E32" s="298">
        <f t="shared" si="17"/>
        <v>3437.91</v>
      </c>
      <c r="F32" s="298">
        <f t="shared" si="17"/>
        <v>4433.9399999999996</v>
      </c>
      <c r="G32" s="298">
        <f t="shared" si="17"/>
        <v>4050</v>
      </c>
      <c r="H32" s="298">
        <f t="shared" si="17"/>
        <v>4966.92</v>
      </c>
      <c r="I32" s="298">
        <f t="shared" si="17"/>
        <v>5712.12</v>
      </c>
      <c r="J32" s="298">
        <f t="shared" si="17"/>
        <v>5788.8</v>
      </c>
      <c r="K32" s="298">
        <f t="shared" si="17"/>
        <v>5924.34</v>
      </c>
      <c r="L32" s="298">
        <f t="shared" si="17"/>
        <v>6073.38</v>
      </c>
      <c r="M32" s="298">
        <f t="shared" si="17"/>
        <v>6433.83</v>
      </c>
      <c r="N32" s="298">
        <f t="shared" si="17"/>
        <v>7410.96</v>
      </c>
    </row>
    <row r="33" spans="1:17" x14ac:dyDescent="0.25">
      <c r="A33" s="98" t="s">
        <v>69</v>
      </c>
      <c r="B33" s="98"/>
      <c r="C33" s="315">
        <v>356</v>
      </c>
      <c r="D33" s="315">
        <v>389</v>
      </c>
      <c r="E33" s="315">
        <v>432</v>
      </c>
      <c r="F33" s="315">
        <v>456</v>
      </c>
      <c r="G33" s="315">
        <v>459</v>
      </c>
      <c r="H33" s="315">
        <v>472</v>
      </c>
      <c r="I33" s="315">
        <v>475</v>
      </c>
      <c r="J33" s="315">
        <v>478</v>
      </c>
      <c r="K33" s="315">
        <v>483</v>
      </c>
      <c r="L33" s="315">
        <v>486</v>
      </c>
      <c r="M33" s="315">
        <v>486</v>
      </c>
      <c r="N33" s="315">
        <v>498</v>
      </c>
    </row>
    <row r="34" spans="1:17" x14ac:dyDescent="0.25">
      <c r="A34" s="98" t="s">
        <v>48</v>
      </c>
      <c r="B34" s="98"/>
      <c r="C34" s="315">
        <v>1850</v>
      </c>
      <c r="D34" s="315">
        <v>2350</v>
      </c>
      <c r="E34" s="315">
        <v>2001</v>
      </c>
      <c r="F34" s="315">
        <v>1953</v>
      </c>
      <c r="G34" s="315">
        <v>2167</v>
      </c>
      <c r="H34" s="315">
        <v>2350</v>
      </c>
      <c r="I34" s="315">
        <v>1860</v>
      </c>
      <c r="J34" s="315">
        <v>2435</v>
      </c>
      <c r="K34" s="315">
        <v>2567</v>
      </c>
      <c r="L34" s="315">
        <v>2633</v>
      </c>
      <c r="M34" s="315">
        <v>2756</v>
      </c>
      <c r="N34" s="315">
        <v>2890</v>
      </c>
    </row>
    <row r="35" spans="1:17" s="43" customFormat="1" x14ac:dyDescent="0.25">
      <c r="A35" s="143" t="s">
        <v>49</v>
      </c>
      <c r="B35" s="143"/>
      <c r="C35" s="298">
        <f>+C34*0.21</f>
        <v>388.5</v>
      </c>
      <c r="D35" s="298">
        <f t="shared" ref="D35:N35" si="18">+D34*0.21</f>
        <v>493.5</v>
      </c>
      <c r="E35" s="298">
        <f t="shared" si="18"/>
        <v>420.21</v>
      </c>
      <c r="F35" s="298">
        <f t="shared" si="18"/>
        <v>410.13</v>
      </c>
      <c r="G35" s="298">
        <f t="shared" si="18"/>
        <v>455.07</v>
      </c>
      <c r="H35" s="298">
        <f t="shared" si="18"/>
        <v>493.5</v>
      </c>
      <c r="I35" s="298">
        <f t="shared" si="18"/>
        <v>390.59999999999997</v>
      </c>
      <c r="J35" s="298">
        <f t="shared" si="18"/>
        <v>511.34999999999997</v>
      </c>
      <c r="K35" s="298">
        <f t="shared" si="18"/>
        <v>539.06999999999994</v>
      </c>
      <c r="L35" s="298">
        <f t="shared" si="18"/>
        <v>552.92999999999995</v>
      </c>
      <c r="M35" s="298">
        <f t="shared" si="18"/>
        <v>578.76</v>
      </c>
      <c r="N35" s="298">
        <f t="shared" si="18"/>
        <v>606.9</v>
      </c>
    </row>
    <row r="36" spans="1:17" x14ac:dyDescent="0.25">
      <c r="A36" s="98" t="s">
        <v>71</v>
      </c>
      <c r="B36" s="98"/>
      <c r="C36" s="315">
        <v>1500</v>
      </c>
      <c r="D36" s="315">
        <v>1500</v>
      </c>
      <c r="E36" s="315">
        <v>1500</v>
      </c>
      <c r="F36" s="315">
        <v>1500</v>
      </c>
      <c r="G36" s="315">
        <v>1500</v>
      </c>
      <c r="H36" s="315">
        <v>1500</v>
      </c>
      <c r="I36" s="315">
        <v>1700</v>
      </c>
      <c r="J36" s="315">
        <v>1700</v>
      </c>
      <c r="K36" s="315">
        <v>1700</v>
      </c>
      <c r="L36" s="315">
        <v>1700</v>
      </c>
      <c r="M36" s="315">
        <v>1700</v>
      </c>
      <c r="N36" s="315">
        <v>1700</v>
      </c>
    </row>
    <row r="37" spans="1:17" s="43" customFormat="1" x14ac:dyDescent="0.25">
      <c r="A37" s="143" t="s">
        <v>72</v>
      </c>
      <c r="B37" s="143"/>
      <c r="C37" s="298">
        <f>+C36*0.21</f>
        <v>315</v>
      </c>
      <c r="D37" s="298">
        <f t="shared" ref="D37:N37" si="19">+D36*0.21</f>
        <v>315</v>
      </c>
      <c r="E37" s="298">
        <f t="shared" si="19"/>
        <v>315</v>
      </c>
      <c r="F37" s="298">
        <f t="shared" si="19"/>
        <v>315</v>
      </c>
      <c r="G37" s="298">
        <f t="shared" si="19"/>
        <v>315</v>
      </c>
      <c r="H37" s="298">
        <f t="shared" si="19"/>
        <v>315</v>
      </c>
      <c r="I37" s="298">
        <f t="shared" si="19"/>
        <v>357</v>
      </c>
      <c r="J37" s="298">
        <f t="shared" si="19"/>
        <v>357</v>
      </c>
      <c r="K37" s="298">
        <f t="shared" si="19"/>
        <v>357</v>
      </c>
      <c r="L37" s="298">
        <f t="shared" si="19"/>
        <v>357</v>
      </c>
      <c r="M37" s="298">
        <f t="shared" si="19"/>
        <v>357</v>
      </c>
      <c r="N37" s="298">
        <f t="shared" si="19"/>
        <v>357</v>
      </c>
    </row>
    <row r="38" spans="1:17" x14ac:dyDescent="0.25">
      <c r="A38" s="98" t="s">
        <v>50</v>
      </c>
      <c r="B38" s="98"/>
      <c r="C38" s="315">
        <v>150</v>
      </c>
      <c r="D38" s="315">
        <v>150</v>
      </c>
      <c r="E38" s="315">
        <v>150</v>
      </c>
      <c r="F38" s="315">
        <v>150</v>
      </c>
      <c r="G38" s="315">
        <v>150</v>
      </c>
      <c r="H38" s="315">
        <v>150</v>
      </c>
      <c r="I38" s="315">
        <v>150</v>
      </c>
      <c r="J38" s="315">
        <v>150</v>
      </c>
      <c r="K38" s="315">
        <v>180</v>
      </c>
      <c r="L38" s="315">
        <v>180</v>
      </c>
      <c r="M38" s="315">
        <v>180</v>
      </c>
      <c r="N38" s="315">
        <v>180</v>
      </c>
    </row>
    <row r="39" spans="1:17" s="43" customFormat="1" x14ac:dyDescent="0.25">
      <c r="A39" s="143" t="s">
        <v>51</v>
      </c>
      <c r="B39" s="143"/>
      <c r="C39" s="298">
        <f>+C38*0.21</f>
        <v>31.5</v>
      </c>
      <c r="D39" s="298">
        <f t="shared" ref="D39:N39" si="20">+D38*0.21</f>
        <v>31.5</v>
      </c>
      <c r="E39" s="298">
        <f t="shared" si="20"/>
        <v>31.5</v>
      </c>
      <c r="F39" s="298">
        <f t="shared" si="20"/>
        <v>31.5</v>
      </c>
      <c r="G39" s="298">
        <f t="shared" si="20"/>
        <v>31.5</v>
      </c>
      <c r="H39" s="298">
        <f t="shared" si="20"/>
        <v>31.5</v>
      </c>
      <c r="I39" s="298">
        <f t="shared" si="20"/>
        <v>31.5</v>
      </c>
      <c r="J39" s="298">
        <f t="shared" si="20"/>
        <v>31.5</v>
      </c>
      <c r="K39" s="298">
        <f t="shared" si="20"/>
        <v>37.799999999999997</v>
      </c>
      <c r="L39" s="298">
        <f t="shared" si="20"/>
        <v>37.799999999999997</v>
      </c>
      <c r="M39" s="298">
        <f t="shared" si="20"/>
        <v>37.799999999999997</v>
      </c>
      <c r="N39" s="298">
        <f t="shared" si="20"/>
        <v>37.799999999999997</v>
      </c>
    </row>
    <row r="40" spans="1:17" x14ac:dyDescent="0.25">
      <c r="A40" s="98" t="s">
        <v>53</v>
      </c>
      <c r="B40" s="98"/>
      <c r="C40" s="315">
        <v>4500</v>
      </c>
      <c r="D40" s="315">
        <v>4500</v>
      </c>
      <c r="E40" s="315">
        <v>3000</v>
      </c>
      <c r="F40" s="315">
        <v>2500</v>
      </c>
      <c r="G40" s="315">
        <v>2000</v>
      </c>
      <c r="H40" s="315">
        <v>1500</v>
      </c>
      <c r="I40" s="315">
        <v>1500</v>
      </c>
      <c r="J40" s="315">
        <v>1500</v>
      </c>
      <c r="K40" s="315">
        <v>3000</v>
      </c>
      <c r="L40" s="315">
        <v>3000</v>
      </c>
      <c r="M40" s="315">
        <v>3000</v>
      </c>
      <c r="N40" s="315">
        <v>3000</v>
      </c>
    </row>
    <row r="41" spans="1:17" s="43" customFormat="1" x14ac:dyDescent="0.25">
      <c r="A41" s="143" t="s">
        <v>52</v>
      </c>
      <c r="B41" s="143"/>
      <c r="C41" s="298">
        <f>+C40*0.21</f>
        <v>945</v>
      </c>
      <c r="D41" s="298">
        <f t="shared" ref="D41:N41" si="21">+D40*0.21</f>
        <v>945</v>
      </c>
      <c r="E41" s="298">
        <f t="shared" si="21"/>
        <v>630</v>
      </c>
      <c r="F41" s="298">
        <f t="shared" si="21"/>
        <v>525</v>
      </c>
      <c r="G41" s="298">
        <f t="shared" si="21"/>
        <v>420</v>
      </c>
      <c r="H41" s="298">
        <f t="shared" si="21"/>
        <v>315</v>
      </c>
      <c r="I41" s="298">
        <f t="shared" si="21"/>
        <v>315</v>
      </c>
      <c r="J41" s="298">
        <f t="shared" si="21"/>
        <v>315</v>
      </c>
      <c r="K41" s="298">
        <f t="shared" si="21"/>
        <v>630</v>
      </c>
      <c r="L41" s="298">
        <f t="shared" si="21"/>
        <v>630</v>
      </c>
      <c r="M41" s="298">
        <f t="shared" si="21"/>
        <v>630</v>
      </c>
      <c r="N41" s="298">
        <f t="shared" si="21"/>
        <v>630</v>
      </c>
    </row>
    <row r="42" spans="1:17" x14ac:dyDescent="0.25">
      <c r="A42" s="98" t="s">
        <v>54</v>
      </c>
      <c r="B42" s="98"/>
      <c r="C42" s="315">
        <v>1255</v>
      </c>
      <c r="D42" s="315">
        <v>890</v>
      </c>
      <c r="E42" s="315">
        <v>963</v>
      </c>
      <c r="F42" s="315">
        <v>980</v>
      </c>
      <c r="G42" s="315">
        <v>1015</v>
      </c>
      <c r="H42" s="315">
        <v>1135</v>
      </c>
      <c r="I42" s="315">
        <v>975</v>
      </c>
      <c r="J42" s="315">
        <v>845</v>
      </c>
      <c r="K42" s="315">
        <v>1356</v>
      </c>
      <c r="L42" s="315">
        <v>1243</v>
      </c>
      <c r="M42" s="315">
        <v>1436</v>
      </c>
      <c r="N42" s="315">
        <v>1563</v>
      </c>
    </row>
    <row r="43" spans="1:17" s="43" customFormat="1" x14ac:dyDescent="0.25">
      <c r="A43" s="143" t="s">
        <v>55</v>
      </c>
      <c r="B43" s="143"/>
      <c r="C43" s="298">
        <f>+C42*0.21</f>
        <v>263.55</v>
      </c>
      <c r="D43" s="298">
        <f t="shared" ref="D43:N43" si="22">+D42*0.21</f>
        <v>186.9</v>
      </c>
      <c r="E43" s="298">
        <f t="shared" si="22"/>
        <v>202.23</v>
      </c>
      <c r="F43" s="298">
        <f t="shared" si="22"/>
        <v>205.79999999999998</v>
      </c>
      <c r="G43" s="298">
        <f t="shared" si="22"/>
        <v>213.15</v>
      </c>
      <c r="H43" s="298">
        <f t="shared" si="22"/>
        <v>238.35</v>
      </c>
      <c r="I43" s="298">
        <f t="shared" si="22"/>
        <v>204.75</v>
      </c>
      <c r="J43" s="298">
        <f t="shared" si="22"/>
        <v>177.45</v>
      </c>
      <c r="K43" s="298">
        <f t="shared" si="22"/>
        <v>284.76</v>
      </c>
      <c r="L43" s="298">
        <f t="shared" si="22"/>
        <v>261.02999999999997</v>
      </c>
      <c r="M43" s="298">
        <f t="shared" si="22"/>
        <v>301.56</v>
      </c>
      <c r="N43" s="298">
        <f t="shared" si="22"/>
        <v>328.22999999999996</v>
      </c>
    </row>
    <row r="44" spans="1:17" s="45" customFormat="1" x14ac:dyDescent="0.25">
      <c r="A44" s="46" t="s">
        <v>67</v>
      </c>
      <c r="B44" s="46"/>
      <c r="C44" s="54">
        <f>+C13+C15+C17+C19+C20+C21+C23+C25+C26+C27+C28+C30+C32+C33+C34+C36+C38+C40+C42</f>
        <v>63982.66166666666</v>
      </c>
      <c r="D44" s="54">
        <f t="shared" ref="D44:N44" si="23">+D13+D15+D17+D19+D20+D21+D23+D25+D26+D27+D28+D30+D32+D33+D34+D36+D38+D40+D42</f>
        <v>49117.181666666671</v>
      </c>
      <c r="E44" s="54">
        <f t="shared" si="23"/>
        <v>47498.151666666672</v>
      </c>
      <c r="F44" s="54">
        <f t="shared" si="23"/>
        <v>48350.181666666671</v>
      </c>
      <c r="G44" s="54">
        <f t="shared" si="23"/>
        <v>46512.241666666669</v>
      </c>
      <c r="H44" s="54">
        <f t="shared" si="23"/>
        <v>58335.16166666666</v>
      </c>
      <c r="I44" s="54">
        <f t="shared" si="23"/>
        <v>48418.361666666671</v>
      </c>
      <c r="J44" s="54">
        <f t="shared" si="23"/>
        <v>52876.041666666664</v>
      </c>
      <c r="K44" s="54">
        <f t="shared" si="23"/>
        <v>55040.581666666665</v>
      </c>
      <c r="L44" s="54">
        <f t="shared" si="23"/>
        <v>55553.621666666659</v>
      </c>
      <c r="M44" s="54">
        <f t="shared" si="23"/>
        <v>56875.071666666663</v>
      </c>
      <c r="N44" s="54">
        <f t="shared" si="23"/>
        <v>68917.20166666666</v>
      </c>
    </row>
    <row r="45" spans="1:17" s="45" customFormat="1" x14ac:dyDescent="0.25">
      <c r="A45" s="46" t="s">
        <v>68</v>
      </c>
      <c r="B45" s="46"/>
      <c r="C45" s="54">
        <f>+C12-C44</f>
        <v>-6868.6616666666596</v>
      </c>
      <c r="D45" s="54">
        <f t="shared" ref="D45:N45" si="24">+D12-D44</f>
        <v>2980.8183333333291</v>
      </c>
      <c r="E45" s="54">
        <f t="shared" si="24"/>
        <v>-4301.1516666666721</v>
      </c>
      <c r="F45" s="54">
        <f t="shared" si="24"/>
        <v>16147.818333333329</v>
      </c>
      <c r="G45" s="54">
        <f t="shared" si="24"/>
        <v>40487.758333333331</v>
      </c>
      <c r="H45" s="54">
        <f t="shared" si="24"/>
        <v>6428.8383333333404</v>
      </c>
      <c r="I45" s="54">
        <f t="shared" si="24"/>
        <v>45235.638333333329</v>
      </c>
      <c r="J45" s="54">
        <f t="shared" si="24"/>
        <v>39583.958333333336</v>
      </c>
      <c r="K45" s="54">
        <f t="shared" si="24"/>
        <v>32037.418333333335</v>
      </c>
      <c r="L45" s="54">
        <f t="shared" si="24"/>
        <v>36492.378333333341</v>
      </c>
      <c r="M45" s="54">
        <f t="shared" si="24"/>
        <v>30685.928333333337</v>
      </c>
      <c r="N45" s="54">
        <f t="shared" si="24"/>
        <v>35764.79833333334</v>
      </c>
    </row>
    <row r="46" spans="1:17" s="45" customFormat="1" x14ac:dyDescent="0.25">
      <c r="A46" s="46"/>
      <c r="B46" s="46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</row>
    <row r="47" spans="1:17" x14ac:dyDescent="0.25">
      <c r="A47" s="299"/>
      <c r="B47" s="300">
        <v>42705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85"/>
      <c r="N47" s="85"/>
    </row>
    <row r="48" spans="1:17" x14ac:dyDescent="0.25">
      <c r="A48" s="301" t="s">
        <v>10</v>
      </c>
      <c r="B48" s="309">
        <f>69381+31995+145000</f>
        <v>246376</v>
      </c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P48" s="43" t="s">
        <v>0</v>
      </c>
      <c r="Q48" s="52">
        <f t="shared" ref="Q48:Q54" si="25">+B48</f>
        <v>246376</v>
      </c>
    </row>
    <row r="49" spans="1:19" x14ac:dyDescent="0.25">
      <c r="A49" s="301" t="s">
        <v>298</v>
      </c>
      <c r="B49" s="308">
        <f>+D49*F49</f>
        <v>78250</v>
      </c>
      <c r="C49" s="307" t="s">
        <v>390</v>
      </c>
      <c r="D49" s="310">
        <v>5000</v>
      </c>
      <c r="E49" s="307" t="s">
        <v>391</v>
      </c>
      <c r="F49" s="311">
        <v>15.65</v>
      </c>
      <c r="G49" s="85"/>
      <c r="H49" s="85"/>
      <c r="I49" s="85"/>
      <c r="J49" s="85"/>
      <c r="K49" s="85"/>
      <c r="L49" s="85"/>
      <c r="M49" s="85"/>
      <c r="N49" s="85"/>
      <c r="P49" s="43" t="s">
        <v>96</v>
      </c>
      <c r="Q49" s="52">
        <f t="shared" si="25"/>
        <v>78250</v>
      </c>
    </row>
    <row r="50" spans="1:19" x14ac:dyDescent="0.25">
      <c r="A50" s="301" t="s">
        <v>59</v>
      </c>
      <c r="B50" s="308">
        <f>B4</f>
        <v>224800</v>
      </c>
      <c r="C50" s="304"/>
      <c r="D50" s="304"/>
      <c r="E50" s="307" t="s">
        <v>392</v>
      </c>
      <c r="F50" s="311">
        <v>18.399999999999999</v>
      </c>
      <c r="G50" s="304"/>
      <c r="H50" s="304"/>
      <c r="I50" s="304"/>
      <c r="J50" s="304"/>
      <c r="K50" s="304"/>
      <c r="L50" s="304"/>
      <c r="M50" s="304"/>
      <c r="N50" s="304"/>
      <c r="P50" s="43" t="s">
        <v>97</v>
      </c>
      <c r="Q50" s="52">
        <f t="shared" si="25"/>
        <v>224800</v>
      </c>
    </row>
    <row r="51" spans="1:19" x14ac:dyDescent="0.25">
      <c r="A51" s="301" t="s">
        <v>85</v>
      </c>
      <c r="B51" s="309">
        <v>22244</v>
      </c>
      <c r="C51" s="305"/>
      <c r="D51" s="304"/>
      <c r="E51" s="304"/>
      <c r="F51" s="304"/>
      <c r="G51" s="304"/>
      <c r="H51" s="304"/>
      <c r="I51" s="304"/>
      <c r="J51" s="304"/>
      <c r="K51" s="304"/>
      <c r="L51" s="304"/>
      <c r="M51" s="304"/>
      <c r="N51" s="304"/>
      <c r="P51" s="43" t="s">
        <v>98</v>
      </c>
      <c r="Q51" s="52">
        <f t="shared" si="25"/>
        <v>22244</v>
      </c>
    </row>
    <row r="52" spans="1:19" x14ac:dyDescent="0.25">
      <c r="A52" s="301" t="s">
        <v>86</v>
      </c>
      <c r="B52" s="309">
        <v>98355</v>
      </c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P52" s="43" t="s">
        <v>99</v>
      </c>
      <c r="Q52" s="52">
        <f t="shared" si="25"/>
        <v>98355</v>
      </c>
    </row>
    <row r="53" spans="1:19" x14ac:dyDescent="0.25">
      <c r="A53" s="301" t="s">
        <v>87</v>
      </c>
      <c r="B53" s="309">
        <v>44753</v>
      </c>
      <c r="C53" s="306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P53" s="43" t="s">
        <v>100</v>
      </c>
      <c r="Q53" s="52">
        <f t="shared" si="25"/>
        <v>44753</v>
      </c>
    </row>
    <row r="54" spans="1:19" x14ac:dyDescent="0.25">
      <c r="A54" s="301" t="s">
        <v>73</v>
      </c>
      <c r="B54" s="302">
        <f>SUM(B48:B53)*-1</f>
        <v>-714778</v>
      </c>
      <c r="C54" s="303"/>
      <c r="D54" s="85"/>
      <c r="E54" s="85"/>
      <c r="F54" s="85"/>
      <c r="G54" s="85"/>
      <c r="H54" s="85"/>
      <c r="I54" s="85"/>
      <c r="J54" s="85"/>
      <c r="K54" s="85"/>
      <c r="L54" s="85"/>
      <c r="M54" s="85"/>
      <c r="N54" s="85"/>
      <c r="P54" s="43" t="s">
        <v>1</v>
      </c>
      <c r="Q54" s="52">
        <f t="shared" si="25"/>
        <v>-714778</v>
      </c>
    </row>
    <row r="55" spans="1:19" x14ac:dyDescent="0.25">
      <c r="A55" s="145"/>
      <c r="B55" s="146"/>
      <c r="C55" s="47"/>
      <c r="M55" s="3"/>
      <c r="P55" s="43"/>
      <c r="Q55" s="52"/>
    </row>
    <row r="56" spans="1:19" x14ac:dyDescent="0.25">
      <c r="A56" s="42" t="s">
        <v>77</v>
      </c>
    </row>
    <row r="57" spans="1:19" x14ac:dyDescent="0.25">
      <c r="C57" s="48">
        <v>42736</v>
      </c>
      <c r="D57" s="48">
        <v>42767</v>
      </c>
      <c r="E57" s="48">
        <v>42795</v>
      </c>
      <c r="F57" s="48">
        <v>42826</v>
      </c>
      <c r="G57" s="48">
        <v>42856</v>
      </c>
      <c r="H57" s="48">
        <v>42887</v>
      </c>
      <c r="I57" s="48">
        <v>42917</v>
      </c>
      <c r="J57" s="48">
        <v>42948</v>
      </c>
      <c r="K57" s="48">
        <v>42979</v>
      </c>
      <c r="L57" s="48">
        <v>43009</v>
      </c>
      <c r="M57" s="48">
        <v>43040</v>
      </c>
      <c r="N57" s="48">
        <v>43070</v>
      </c>
      <c r="O57" s="41"/>
    </row>
    <row r="58" spans="1:19" x14ac:dyDescent="0.25">
      <c r="A58" s="42" t="s">
        <v>74</v>
      </c>
      <c r="C58" s="51">
        <f t="shared" ref="C58:M58" si="26">+C4</f>
        <v>85500</v>
      </c>
      <c r="D58" s="51">
        <f t="shared" si="26"/>
        <v>74100</v>
      </c>
      <c r="E58" s="51">
        <f t="shared" si="26"/>
        <v>71400</v>
      </c>
      <c r="F58" s="51">
        <f t="shared" si="26"/>
        <v>83300</v>
      </c>
      <c r="G58" s="51">
        <f t="shared" si="26"/>
        <v>48000</v>
      </c>
      <c r="H58" s="51">
        <f t="shared" si="26"/>
        <v>100800</v>
      </c>
      <c r="I58" s="51">
        <f t="shared" si="26"/>
        <v>96750</v>
      </c>
      <c r="J58" s="51">
        <f t="shared" si="26"/>
        <v>100500</v>
      </c>
      <c r="K58" s="51">
        <f t="shared" si="26"/>
        <v>110400</v>
      </c>
      <c r="L58" s="51">
        <f t="shared" si="26"/>
        <v>110400</v>
      </c>
      <c r="M58" s="51">
        <f t="shared" si="26"/>
        <v>126900</v>
      </c>
      <c r="N58" s="51">
        <f>+N4</f>
        <v>142350</v>
      </c>
      <c r="O58" s="41"/>
      <c r="P58" s="43" t="s">
        <v>97</v>
      </c>
      <c r="Q58" s="52">
        <f>SUM(C58:N58)</f>
        <v>1150400</v>
      </c>
      <c r="S58" s="3"/>
    </row>
    <row r="59" spans="1:19" x14ac:dyDescent="0.25">
      <c r="A59" s="39" t="s">
        <v>75</v>
      </c>
      <c r="C59" s="55">
        <f t="shared" ref="C59:M59" si="27">+C5</f>
        <v>17955</v>
      </c>
      <c r="D59" s="55">
        <f t="shared" si="27"/>
        <v>15561</v>
      </c>
      <c r="E59" s="55">
        <f t="shared" si="27"/>
        <v>14994</v>
      </c>
      <c r="F59" s="55">
        <f t="shared" si="27"/>
        <v>17493</v>
      </c>
      <c r="G59" s="55">
        <f t="shared" si="27"/>
        <v>10080</v>
      </c>
      <c r="H59" s="55">
        <f t="shared" si="27"/>
        <v>21168</v>
      </c>
      <c r="I59" s="55">
        <f t="shared" si="27"/>
        <v>20317.5</v>
      </c>
      <c r="J59" s="55">
        <f t="shared" si="27"/>
        <v>21105</v>
      </c>
      <c r="K59" s="55">
        <f t="shared" si="27"/>
        <v>23184</v>
      </c>
      <c r="L59" s="55">
        <f t="shared" si="27"/>
        <v>23184</v>
      </c>
      <c r="M59" s="55">
        <f t="shared" si="27"/>
        <v>26649</v>
      </c>
      <c r="N59" s="55">
        <f>+N5</f>
        <v>29893.5</v>
      </c>
      <c r="O59" s="40"/>
      <c r="P59" s="43" t="s">
        <v>75</v>
      </c>
      <c r="Q59" s="52">
        <f>SUM(C59:P59)</f>
        <v>241584</v>
      </c>
      <c r="S59" s="3"/>
    </row>
    <row r="60" spans="1:19" x14ac:dyDescent="0.25">
      <c r="A60" s="38" t="s">
        <v>129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1">
        <f>+M58*0.0605</f>
        <v>7677.45</v>
      </c>
      <c r="N60" s="55"/>
      <c r="O60" s="40"/>
      <c r="P60" s="43" t="s">
        <v>130</v>
      </c>
      <c r="Q60" s="52">
        <f>SUM(C60:P60)</f>
        <v>7677.45</v>
      </c>
      <c r="S60" s="3"/>
    </row>
    <row r="61" spans="1:19" x14ac:dyDescent="0.25">
      <c r="A61" s="38" t="s">
        <v>76</v>
      </c>
      <c r="C61" s="51">
        <f>SUM(C58:C59)*-1</f>
        <v>-103455</v>
      </c>
      <c r="D61" s="51">
        <f>SUM(D58:D59)*-1</f>
        <v>-89661</v>
      </c>
      <c r="E61" s="51">
        <f t="shared" ref="E61:L61" si="28">SUM(E58:E59)*-1</f>
        <v>-86394</v>
      </c>
      <c r="F61" s="51">
        <f t="shared" si="28"/>
        <v>-100793</v>
      </c>
      <c r="G61" s="51">
        <f t="shared" si="28"/>
        <v>-58080</v>
      </c>
      <c r="H61" s="51">
        <f t="shared" si="28"/>
        <v>-121968</v>
      </c>
      <c r="I61" s="51">
        <f t="shared" si="28"/>
        <v>-117067.5</v>
      </c>
      <c r="J61" s="51">
        <f t="shared" si="28"/>
        <v>-121605</v>
      </c>
      <c r="K61" s="51">
        <f t="shared" si="28"/>
        <v>-133584</v>
      </c>
      <c r="L61" s="51">
        <f t="shared" si="28"/>
        <v>-133584</v>
      </c>
      <c r="M61" s="51">
        <f>SUM(M58:M60)*-1</f>
        <v>-161226.45000000001</v>
      </c>
      <c r="N61" s="56"/>
      <c r="O61" s="64"/>
      <c r="P61" s="43" t="s">
        <v>0</v>
      </c>
      <c r="Q61" s="52">
        <f>SUM(C61:P61)</f>
        <v>-1227417.95</v>
      </c>
      <c r="S61" s="3"/>
    </row>
    <row r="62" spans="1:19" x14ac:dyDescent="0.25">
      <c r="A62" s="38" t="s">
        <v>89</v>
      </c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159">
        <f>SUM(N58:N61)*-1</f>
        <v>-172243.5</v>
      </c>
      <c r="O62" s="64" t="s">
        <v>81</v>
      </c>
      <c r="P62" s="43" t="s">
        <v>101</v>
      </c>
      <c r="Q62" s="52">
        <f>+N62</f>
        <v>-172243.5</v>
      </c>
      <c r="R62" s="3"/>
    </row>
    <row r="63" spans="1:19" x14ac:dyDescent="0.25">
      <c r="A63" s="41"/>
      <c r="B63" s="41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  <c r="P63" s="43"/>
      <c r="Q63" s="43"/>
      <c r="R63" s="3"/>
    </row>
    <row r="64" spans="1:19" x14ac:dyDescent="0.25">
      <c r="A64" s="41" t="s">
        <v>90</v>
      </c>
      <c r="B64" s="41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159">
        <f>SUM(M65:M68)*-1</f>
        <v>272472.70049999998</v>
      </c>
      <c r="N64" s="51"/>
      <c r="O64" s="45" t="s">
        <v>82</v>
      </c>
      <c r="P64" s="43" t="s">
        <v>102</v>
      </c>
      <c r="Q64" s="52">
        <f>+M64</f>
        <v>272472.70049999998</v>
      </c>
    </row>
    <row r="65" spans="1:19" x14ac:dyDescent="0.25">
      <c r="A65" s="42" t="s">
        <v>0</v>
      </c>
      <c r="C65" s="52">
        <f>SUM(C67:C68)*-1</f>
        <v>172562.94</v>
      </c>
      <c r="D65" s="52">
        <f t="shared" ref="D65:N65" si="29">SUM(D67:D68)*-1</f>
        <v>152699.57999999999</v>
      </c>
      <c r="E65" s="52">
        <f t="shared" si="29"/>
        <v>138662.37</v>
      </c>
      <c r="F65" s="52">
        <f t="shared" si="29"/>
        <v>178835.58</v>
      </c>
      <c r="G65" s="52">
        <f t="shared" si="29"/>
        <v>163350</v>
      </c>
      <c r="H65" s="52">
        <f t="shared" si="29"/>
        <v>200332.44</v>
      </c>
      <c r="I65" s="52">
        <f t="shared" si="29"/>
        <v>230388.84</v>
      </c>
      <c r="J65" s="52">
        <f t="shared" si="29"/>
        <v>233481.60000000001</v>
      </c>
      <c r="K65" s="52">
        <f t="shared" si="29"/>
        <v>238948.38</v>
      </c>
      <c r="L65" s="52">
        <f t="shared" si="29"/>
        <v>244959.66</v>
      </c>
      <c r="M65" s="52"/>
      <c r="N65" s="52">
        <f t="shared" si="29"/>
        <v>298908.71999999997</v>
      </c>
      <c r="P65" s="43" t="s">
        <v>0</v>
      </c>
      <c r="Q65" s="52">
        <f>SUM(C65:N65)</f>
        <v>2253130.11</v>
      </c>
    </row>
    <row r="66" spans="1:19" x14ac:dyDescent="0.25">
      <c r="A66" s="38" t="s">
        <v>128</v>
      </c>
      <c r="C66" s="3"/>
      <c r="D66" s="3"/>
      <c r="E66" s="3"/>
      <c r="F66" s="3"/>
      <c r="G66" s="3"/>
      <c r="H66" s="3"/>
      <c r="I66" s="3"/>
      <c r="J66" s="3"/>
      <c r="K66" s="3"/>
      <c r="L66" s="3"/>
      <c r="M66" s="52">
        <f>+M68*0.0605</f>
        <v>-12974.8905</v>
      </c>
      <c r="N66" s="3"/>
      <c r="O66" s="45" t="s">
        <v>82</v>
      </c>
      <c r="P66" s="43" t="s">
        <v>131</v>
      </c>
      <c r="Q66" s="52">
        <f>SUM(C66:N66)</f>
        <v>-12974.8905</v>
      </c>
    </row>
    <row r="67" spans="1:19" x14ac:dyDescent="0.25">
      <c r="A67" t="s">
        <v>78</v>
      </c>
      <c r="C67" s="52">
        <f>-C9</f>
        <v>-29948.94</v>
      </c>
      <c r="D67" s="52">
        <f t="shared" ref="D67:N67" si="30">-D9</f>
        <v>-26501.579999999998</v>
      </c>
      <c r="E67" s="52">
        <f t="shared" si="30"/>
        <v>-24065.37</v>
      </c>
      <c r="F67" s="52">
        <f t="shared" si="30"/>
        <v>-31037.579999999998</v>
      </c>
      <c r="G67" s="52">
        <f t="shared" si="30"/>
        <v>-28350</v>
      </c>
      <c r="H67" s="52">
        <f t="shared" si="30"/>
        <v>-34768.44</v>
      </c>
      <c r="I67" s="52">
        <f t="shared" si="30"/>
        <v>-39984.839999999997</v>
      </c>
      <c r="J67" s="52">
        <f t="shared" si="30"/>
        <v>-40521.599999999999</v>
      </c>
      <c r="K67" s="52">
        <f t="shared" si="30"/>
        <v>-41470.379999999997</v>
      </c>
      <c r="L67" s="52">
        <f t="shared" si="30"/>
        <v>-42513.659999999996</v>
      </c>
      <c r="M67" s="52">
        <f t="shared" si="30"/>
        <v>-45036.81</v>
      </c>
      <c r="N67" s="52">
        <f t="shared" si="30"/>
        <v>-51876.72</v>
      </c>
      <c r="P67" s="43" t="s">
        <v>78</v>
      </c>
      <c r="Q67" s="52">
        <f t="shared" ref="Q67:Q68" si="31">SUM(C67:N67)</f>
        <v>-436075.91999999993</v>
      </c>
      <c r="S67" s="3"/>
    </row>
    <row r="68" spans="1:19" x14ac:dyDescent="0.25">
      <c r="A68" t="s">
        <v>79</v>
      </c>
      <c r="C68" s="52">
        <f>-C8</f>
        <v>-142614</v>
      </c>
      <c r="D68" s="52">
        <f t="shared" ref="D68:N68" si="32">-D8</f>
        <v>-126198</v>
      </c>
      <c r="E68" s="52">
        <f t="shared" si="32"/>
        <v>-114597</v>
      </c>
      <c r="F68" s="52">
        <f t="shared" si="32"/>
        <v>-147798</v>
      </c>
      <c r="G68" s="52">
        <f t="shared" si="32"/>
        <v>-135000</v>
      </c>
      <c r="H68" s="52">
        <f t="shared" si="32"/>
        <v>-165564</v>
      </c>
      <c r="I68" s="52">
        <f t="shared" si="32"/>
        <v>-190404</v>
      </c>
      <c r="J68" s="52">
        <f t="shared" si="32"/>
        <v>-192960</v>
      </c>
      <c r="K68" s="52">
        <f t="shared" si="32"/>
        <v>-197478</v>
      </c>
      <c r="L68" s="52">
        <f t="shared" si="32"/>
        <v>-202446</v>
      </c>
      <c r="M68" s="52">
        <f t="shared" si="32"/>
        <v>-214461</v>
      </c>
      <c r="N68" s="52">
        <f t="shared" si="32"/>
        <v>-247032</v>
      </c>
      <c r="P68" s="43" t="s">
        <v>7</v>
      </c>
      <c r="Q68" s="52">
        <f t="shared" si="31"/>
        <v>-2076552</v>
      </c>
      <c r="R68" s="3"/>
      <c r="S68" s="3"/>
    </row>
    <row r="69" spans="1:19" x14ac:dyDescent="0.25">
      <c r="Q69" s="3"/>
    </row>
    <row r="70" spans="1:19" x14ac:dyDescent="0.25">
      <c r="A70" t="s">
        <v>39</v>
      </c>
      <c r="C70" s="233">
        <f>+C13</f>
        <v>8000</v>
      </c>
      <c r="D70" s="233">
        <f t="shared" ref="D70:N70" si="33">+D13</f>
        <v>8000</v>
      </c>
      <c r="E70" s="233">
        <f t="shared" si="33"/>
        <v>8000</v>
      </c>
      <c r="F70" s="233">
        <f t="shared" si="33"/>
        <v>8000</v>
      </c>
      <c r="G70" s="233">
        <f t="shared" si="33"/>
        <v>8000</v>
      </c>
      <c r="H70" s="233">
        <f t="shared" si="33"/>
        <v>8000</v>
      </c>
      <c r="I70" s="233">
        <f t="shared" si="33"/>
        <v>8800</v>
      </c>
      <c r="J70" s="233">
        <f t="shared" si="33"/>
        <v>8800</v>
      </c>
      <c r="K70" s="233">
        <f t="shared" si="33"/>
        <v>8800</v>
      </c>
      <c r="L70" s="233">
        <f t="shared" si="33"/>
        <v>8800</v>
      </c>
      <c r="M70" s="233">
        <f t="shared" si="33"/>
        <v>8800</v>
      </c>
      <c r="N70" s="233">
        <f t="shared" si="33"/>
        <v>8800</v>
      </c>
      <c r="P70" s="43" t="s">
        <v>103</v>
      </c>
      <c r="Q70" s="52">
        <f>SUM(C70:N70)</f>
        <v>100800</v>
      </c>
      <c r="S70" s="3"/>
    </row>
    <row r="71" spans="1:19" x14ac:dyDescent="0.25">
      <c r="A71" t="s">
        <v>75</v>
      </c>
      <c r="C71" s="52">
        <f>+C14</f>
        <v>1680</v>
      </c>
      <c r="D71" s="52">
        <f t="shared" ref="D71:N71" si="34">+D14</f>
        <v>1680</v>
      </c>
      <c r="E71" s="52">
        <f t="shared" si="34"/>
        <v>1680</v>
      </c>
      <c r="F71" s="52">
        <f t="shared" si="34"/>
        <v>1680</v>
      </c>
      <c r="G71" s="52">
        <f t="shared" si="34"/>
        <v>1680</v>
      </c>
      <c r="H71" s="52">
        <f t="shared" si="34"/>
        <v>1680</v>
      </c>
      <c r="I71" s="52">
        <f t="shared" si="34"/>
        <v>1848</v>
      </c>
      <c r="J71" s="52">
        <f t="shared" si="34"/>
        <v>1848</v>
      </c>
      <c r="K71" s="52">
        <f t="shared" si="34"/>
        <v>1848</v>
      </c>
      <c r="L71" s="52">
        <f t="shared" si="34"/>
        <v>1848</v>
      </c>
      <c r="M71" s="52">
        <f t="shared" si="34"/>
        <v>1848</v>
      </c>
      <c r="N71" s="52">
        <f t="shared" si="34"/>
        <v>1848</v>
      </c>
      <c r="P71" s="43" t="s">
        <v>75</v>
      </c>
      <c r="Q71" s="52">
        <f t="shared" ref="Q71:Q72" si="35">SUM(C71:N71)</f>
        <v>21168</v>
      </c>
    </row>
    <row r="72" spans="1:19" x14ac:dyDescent="0.25">
      <c r="A72" t="s">
        <v>0</v>
      </c>
      <c r="C72" s="233">
        <f>SUM(C70:C71)*-1</f>
        <v>-9680</v>
      </c>
      <c r="D72" s="233">
        <f t="shared" ref="D72:N72" si="36">SUM(D70:D71)*-1</f>
        <v>-9680</v>
      </c>
      <c r="E72" s="233">
        <f t="shared" si="36"/>
        <v>-9680</v>
      </c>
      <c r="F72" s="233">
        <f t="shared" si="36"/>
        <v>-9680</v>
      </c>
      <c r="G72" s="233">
        <f t="shared" si="36"/>
        <v>-9680</v>
      </c>
      <c r="H72" s="233">
        <f t="shared" si="36"/>
        <v>-9680</v>
      </c>
      <c r="I72" s="233">
        <f t="shared" si="36"/>
        <v>-10648</v>
      </c>
      <c r="J72" s="233">
        <f t="shared" si="36"/>
        <v>-10648</v>
      </c>
      <c r="K72" s="233">
        <f t="shared" si="36"/>
        <v>-10648</v>
      </c>
      <c r="L72" s="233">
        <f t="shared" si="36"/>
        <v>-10648</v>
      </c>
      <c r="M72" s="233">
        <f t="shared" si="36"/>
        <v>-10648</v>
      </c>
      <c r="N72" s="233">
        <f t="shared" si="36"/>
        <v>-10648</v>
      </c>
      <c r="P72" s="43" t="s">
        <v>0</v>
      </c>
      <c r="Q72" s="52">
        <f t="shared" si="35"/>
        <v>-121968</v>
      </c>
    </row>
    <row r="73" spans="1:19" x14ac:dyDescent="0.25"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P73" s="43"/>
      <c r="Q73" s="43"/>
    </row>
    <row r="74" spans="1:19" x14ac:dyDescent="0.25">
      <c r="A74" t="s">
        <v>61</v>
      </c>
      <c r="C74" s="233">
        <f>+C15</f>
        <v>10000</v>
      </c>
      <c r="D74" s="233">
        <f t="shared" ref="D74:N74" si="37">+D15</f>
        <v>10000</v>
      </c>
      <c r="E74" s="233">
        <f t="shared" si="37"/>
        <v>10000</v>
      </c>
      <c r="F74" s="233">
        <f t="shared" si="37"/>
        <v>10000</v>
      </c>
      <c r="G74" s="233">
        <f t="shared" si="37"/>
        <v>10000</v>
      </c>
      <c r="H74" s="233">
        <f t="shared" si="37"/>
        <v>15000</v>
      </c>
      <c r="I74" s="233">
        <f t="shared" si="37"/>
        <v>10000</v>
      </c>
      <c r="J74" s="233">
        <f t="shared" si="37"/>
        <v>11500</v>
      </c>
      <c r="K74" s="233">
        <f t="shared" si="37"/>
        <v>11500</v>
      </c>
      <c r="L74" s="233">
        <f t="shared" si="37"/>
        <v>11500</v>
      </c>
      <c r="M74" s="233">
        <f t="shared" si="37"/>
        <v>11500</v>
      </c>
      <c r="N74" s="233">
        <f t="shared" si="37"/>
        <v>17250</v>
      </c>
      <c r="P74" s="43" t="s">
        <v>104</v>
      </c>
      <c r="Q74" s="52">
        <f>SUM(C74:N74)</f>
        <v>138250</v>
      </c>
    </row>
    <row r="75" spans="1:19" x14ac:dyDescent="0.25">
      <c r="A75" t="s">
        <v>64</v>
      </c>
      <c r="C75" s="52">
        <f>+C16</f>
        <v>3300</v>
      </c>
      <c r="D75" s="52">
        <f t="shared" ref="D75:N75" si="38">+D16</f>
        <v>3300</v>
      </c>
      <c r="E75" s="52">
        <f t="shared" si="38"/>
        <v>3300</v>
      </c>
      <c r="F75" s="52">
        <f t="shared" si="38"/>
        <v>3300</v>
      </c>
      <c r="G75" s="52">
        <f t="shared" si="38"/>
        <v>3300</v>
      </c>
      <c r="H75" s="52">
        <f t="shared" si="38"/>
        <v>4950</v>
      </c>
      <c r="I75" s="52">
        <f t="shared" si="38"/>
        <v>3300</v>
      </c>
      <c r="J75" s="52">
        <f t="shared" si="38"/>
        <v>3795</v>
      </c>
      <c r="K75" s="52">
        <f t="shared" si="38"/>
        <v>3795</v>
      </c>
      <c r="L75" s="52">
        <f t="shared" si="38"/>
        <v>3795</v>
      </c>
      <c r="M75" s="52">
        <f t="shared" si="38"/>
        <v>3795</v>
      </c>
      <c r="N75" s="52">
        <f t="shared" si="38"/>
        <v>5692.5</v>
      </c>
      <c r="P75" s="43" t="s">
        <v>105</v>
      </c>
      <c r="Q75" s="52">
        <f t="shared" ref="Q75:Q79" si="39">SUM(C75:N75)</f>
        <v>45622.5</v>
      </c>
    </row>
    <row r="76" spans="1:19" x14ac:dyDescent="0.25">
      <c r="A76" t="s">
        <v>62</v>
      </c>
      <c r="C76" s="233">
        <f>+C17</f>
        <v>8000</v>
      </c>
      <c r="D76" s="233">
        <f t="shared" ref="D76:N76" si="40">+D17</f>
        <v>8000</v>
      </c>
      <c r="E76" s="233">
        <f t="shared" si="40"/>
        <v>8000</v>
      </c>
      <c r="F76" s="233">
        <f t="shared" si="40"/>
        <v>8000</v>
      </c>
      <c r="G76" s="233">
        <f t="shared" si="40"/>
        <v>8000</v>
      </c>
      <c r="H76" s="233">
        <f t="shared" si="40"/>
        <v>12000</v>
      </c>
      <c r="I76" s="233">
        <f t="shared" si="40"/>
        <v>8000</v>
      </c>
      <c r="J76" s="233">
        <f t="shared" si="40"/>
        <v>9200</v>
      </c>
      <c r="K76" s="233">
        <f t="shared" si="40"/>
        <v>9200</v>
      </c>
      <c r="L76" s="233">
        <f t="shared" si="40"/>
        <v>9200</v>
      </c>
      <c r="M76" s="233">
        <f t="shared" si="40"/>
        <v>9200</v>
      </c>
      <c r="N76" s="233">
        <f t="shared" si="40"/>
        <v>13800</v>
      </c>
      <c r="P76" s="43" t="s">
        <v>106</v>
      </c>
      <c r="Q76" s="52">
        <f t="shared" si="39"/>
        <v>110600</v>
      </c>
    </row>
    <row r="77" spans="1:19" x14ac:dyDescent="0.25">
      <c r="A77" t="s">
        <v>63</v>
      </c>
      <c r="C77" s="52">
        <f>+C18</f>
        <v>2640</v>
      </c>
      <c r="D77" s="52">
        <f t="shared" ref="D77:N77" si="41">+D18</f>
        <v>2640</v>
      </c>
      <c r="E77" s="52">
        <f t="shared" si="41"/>
        <v>2640</v>
      </c>
      <c r="F77" s="52">
        <f t="shared" si="41"/>
        <v>2640</v>
      </c>
      <c r="G77" s="52">
        <f t="shared" si="41"/>
        <v>2640</v>
      </c>
      <c r="H77" s="52">
        <f t="shared" si="41"/>
        <v>3960</v>
      </c>
      <c r="I77" s="52">
        <f t="shared" si="41"/>
        <v>2640</v>
      </c>
      <c r="J77" s="52">
        <f t="shared" si="41"/>
        <v>3036</v>
      </c>
      <c r="K77" s="52">
        <f t="shared" si="41"/>
        <v>3036</v>
      </c>
      <c r="L77" s="52">
        <f t="shared" si="41"/>
        <v>3036</v>
      </c>
      <c r="M77" s="52">
        <f t="shared" si="41"/>
        <v>3036</v>
      </c>
      <c r="N77" s="52">
        <f t="shared" si="41"/>
        <v>4554</v>
      </c>
      <c r="P77" s="43" t="s">
        <v>107</v>
      </c>
      <c r="Q77" s="52">
        <f t="shared" si="39"/>
        <v>36498</v>
      </c>
    </row>
    <row r="78" spans="1:19" x14ac:dyDescent="0.25">
      <c r="A78" t="s">
        <v>0</v>
      </c>
      <c r="C78" s="52">
        <f>SUM(C74:C77)*-1</f>
        <v>-23940</v>
      </c>
      <c r="D78" s="52">
        <f t="shared" ref="D78:M78" si="42">SUM(D74:D77)*-1</f>
        <v>-23940</v>
      </c>
      <c r="E78" s="52">
        <f t="shared" si="42"/>
        <v>-23940</v>
      </c>
      <c r="F78" s="52">
        <f t="shared" si="42"/>
        <v>-23940</v>
      </c>
      <c r="G78" s="52">
        <f t="shared" si="42"/>
        <v>-23940</v>
      </c>
      <c r="H78" s="52">
        <f t="shared" si="42"/>
        <v>-35910</v>
      </c>
      <c r="I78" s="52">
        <f t="shared" si="42"/>
        <v>-23940</v>
      </c>
      <c r="J78" s="52">
        <f t="shared" si="42"/>
        <v>-27531</v>
      </c>
      <c r="K78" s="52">
        <f t="shared" si="42"/>
        <v>-27531</v>
      </c>
      <c r="L78" s="52">
        <f t="shared" si="42"/>
        <v>-27531</v>
      </c>
      <c r="M78" s="52">
        <f t="shared" si="42"/>
        <v>-27531</v>
      </c>
      <c r="N78" s="185">
        <v>0</v>
      </c>
      <c r="O78" s="45" t="s">
        <v>81</v>
      </c>
      <c r="P78" s="43" t="s">
        <v>0</v>
      </c>
      <c r="Q78" s="52">
        <f t="shared" si="39"/>
        <v>-289674</v>
      </c>
      <c r="R78" s="3"/>
    </row>
    <row r="79" spans="1:19" x14ac:dyDescent="0.25">
      <c r="A79" t="s">
        <v>91</v>
      </c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185">
        <f>SUM(N74:N78)*-1</f>
        <v>-41296.5</v>
      </c>
      <c r="P79" s="43" t="s">
        <v>108</v>
      </c>
      <c r="Q79" s="52">
        <f t="shared" si="39"/>
        <v>-41296.5</v>
      </c>
    </row>
    <row r="80" spans="1:19" x14ac:dyDescent="0.25"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Q80" s="3"/>
    </row>
    <row r="81" spans="1:18" x14ac:dyDescent="0.25">
      <c r="A81" t="s">
        <v>29</v>
      </c>
      <c r="C81" s="233">
        <f>+C19</f>
        <v>2350</v>
      </c>
      <c r="D81" s="233">
        <f t="shared" ref="D81:N81" si="43">+D19</f>
        <v>2115</v>
      </c>
      <c r="E81" s="233">
        <f t="shared" si="43"/>
        <v>2445</v>
      </c>
      <c r="F81" s="233">
        <f t="shared" si="43"/>
        <v>2673</v>
      </c>
      <c r="G81" s="233">
        <f t="shared" si="43"/>
        <v>2594</v>
      </c>
      <c r="H81" s="233">
        <f t="shared" si="43"/>
        <v>2301</v>
      </c>
      <c r="I81" s="233">
        <f t="shared" si="43"/>
        <v>2456</v>
      </c>
      <c r="J81" s="233">
        <f t="shared" si="43"/>
        <v>2780</v>
      </c>
      <c r="K81" s="233">
        <f t="shared" si="43"/>
        <v>2863</v>
      </c>
      <c r="L81" s="233">
        <f t="shared" si="43"/>
        <v>2934</v>
      </c>
      <c r="M81" s="233">
        <f t="shared" si="43"/>
        <v>2967</v>
      </c>
      <c r="N81" s="233">
        <f t="shared" si="43"/>
        <v>3140</v>
      </c>
      <c r="P81" s="43" t="s">
        <v>109</v>
      </c>
      <c r="Q81" s="52">
        <f>SUM(C81:N81)</f>
        <v>31618</v>
      </c>
    </row>
    <row r="82" spans="1:18" x14ac:dyDescent="0.25">
      <c r="A82" t="s">
        <v>30</v>
      </c>
      <c r="C82" s="233">
        <f>+C20</f>
        <v>201</v>
      </c>
      <c r="D82" s="233">
        <f t="shared" ref="D82:N82" si="44">+D20</f>
        <v>235</v>
      </c>
      <c r="E82" s="233">
        <f t="shared" si="44"/>
        <v>223</v>
      </c>
      <c r="F82" s="233">
        <f t="shared" si="44"/>
        <v>215</v>
      </c>
      <c r="G82" s="233">
        <f t="shared" si="44"/>
        <v>259</v>
      </c>
      <c r="H82" s="233">
        <f t="shared" si="44"/>
        <v>242</v>
      </c>
      <c r="I82" s="233">
        <f t="shared" si="44"/>
        <v>234</v>
      </c>
      <c r="J82" s="233">
        <f t="shared" si="44"/>
        <v>247</v>
      </c>
      <c r="K82" s="233">
        <f t="shared" si="44"/>
        <v>238</v>
      </c>
      <c r="L82" s="233">
        <f t="shared" si="44"/>
        <v>251</v>
      </c>
      <c r="M82" s="233">
        <f t="shared" si="44"/>
        <v>257</v>
      </c>
      <c r="N82" s="233">
        <f t="shared" si="44"/>
        <v>261</v>
      </c>
      <c r="P82" s="43" t="s">
        <v>110</v>
      </c>
      <c r="Q82" s="52">
        <f t="shared" ref="Q82:Q135" si="45">SUM(C82:N82)</f>
        <v>2863</v>
      </c>
    </row>
    <row r="83" spans="1:18" x14ac:dyDescent="0.25">
      <c r="A83" t="s">
        <v>0</v>
      </c>
      <c r="C83" s="52">
        <f>SUM(C81:C82)*-1</f>
        <v>-2551</v>
      </c>
      <c r="D83" s="52">
        <f t="shared" ref="D83:M83" si="46">SUM(D81:D82)*-1</f>
        <v>-2350</v>
      </c>
      <c r="E83" s="52">
        <f t="shared" si="46"/>
        <v>-2668</v>
      </c>
      <c r="F83" s="52">
        <f t="shared" si="46"/>
        <v>-2888</v>
      </c>
      <c r="G83" s="52">
        <f t="shared" si="46"/>
        <v>-2853</v>
      </c>
      <c r="H83" s="52">
        <f t="shared" si="46"/>
        <v>-2543</v>
      </c>
      <c r="I83" s="52">
        <f t="shared" si="46"/>
        <v>-2690</v>
      </c>
      <c r="J83" s="52">
        <f t="shared" si="46"/>
        <v>-3027</v>
      </c>
      <c r="K83" s="52">
        <f t="shared" si="46"/>
        <v>-3101</v>
      </c>
      <c r="L83" s="52">
        <f t="shared" si="46"/>
        <v>-3185</v>
      </c>
      <c r="M83" s="52">
        <f t="shared" si="46"/>
        <v>-3224</v>
      </c>
      <c r="N83" s="185">
        <v>0</v>
      </c>
      <c r="O83" s="45" t="s">
        <v>81</v>
      </c>
      <c r="P83" s="43" t="s">
        <v>0</v>
      </c>
      <c r="Q83" s="52">
        <f t="shared" si="45"/>
        <v>-31080</v>
      </c>
    </row>
    <row r="84" spans="1:18" x14ac:dyDescent="0.25">
      <c r="A84" t="s">
        <v>92</v>
      </c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185">
        <f>SUM(N81:N83)*-1</f>
        <v>-3401</v>
      </c>
      <c r="P84" s="43" t="s">
        <v>111</v>
      </c>
      <c r="Q84" s="52">
        <f t="shared" si="45"/>
        <v>-3401</v>
      </c>
    </row>
    <row r="85" spans="1:18" x14ac:dyDescent="0.25"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57"/>
      <c r="P85" s="43"/>
      <c r="Q85" s="52"/>
    </row>
    <row r="86" spans="1:18" x14ac:dyDescent="0.25">
      <c r="A86" t="s">
        <v>65</v>
      </c>
      <c r="C86" s="233">
        <f>+C21</f>
        <v>12689</v>
      </c>
      <c r="D86" s="233">
        <f t="shared" ref="D86:N86" si="47">+D21</f>
        <v>0</v>
      </c>
      <c r="E86" s="233">
        <f t="shared" si="47"/>
        <v>0</v>
      </c>
      <c r="F86" s="233">
        <f t="shared" si="47"/>
        <v>0</v>
      </c>
      <c r="G86" s="233">
        <f t="shared" si="47"/>
        <v>0</v>
      </c>
      <c r="H86" s="233">
        <f t="shared" si="47"/>
        <v>0</v>
      </c>
      <c r="I86" s="233">
        <f t="shared" si="47"/>
        <v>0</v>
      </c>
      <c r="J86" s="233">
        <f t="shared" si="47"/>
        <v>0</v>
      </c>
      <c r="K86" s="233">
        <f t="shared" si="47"/>
        <v>0</v>
      </c>
      <c r="L86" s="233">
        <f t="shared" si="47"/>
        <v>0</v>
      </c>
      <c r="M86" s="233">
        <f t="shared" si="47"/>
        <v>0</v>
      </c>
      <c r="N86" s="233">
        <f t="shared" si="47"/>
        <v>0</v>
      </c>
      <c r="P86" s="43" t="s">
        <v>112</v>
      </c>
      <c r="Q86" s="52">
        <f t="shared" si="45"/>
        <v>12689</v>
      </c>
    </row>
    <row r="87" spans="1:18" x14ac:dyDescent="0.25">
      <c r="A87" t="s">
        <v>66</v>
      </c>
      <c r="C87" s="52">
        <f>+C22</f>
        <v>2664.69</v>
      </c>
      <c r="D87" s="52">
        <f t="shared" ref="D87:N87" si="48">+D22</f>
        <v>0</v>
      </c>
      <c r="E87" s="52">
        <f t="shared" si="48"/>
        <v>0</v>
      </c>
      <c r="F87" s="52">
        <f t="shared" si="48"/>
        <v>0</v>
      </c>
      <c r="G87" s="52">
        <f t="shared" si="48"/>
        <v>0</v>
      </c>
      <c r="H87" s="52">
        <f t="shared" si="48"/>
        <v>0</v>
      </c>
      <c r="I87" s="52">
        <f t="shared" si="48"/>
        <v>0</v>
      </c>
      <c r="J87" s="52">
        <f t="shared" si="48"/>
        <v>0</v>
      </c>
      <c r="K87" s="52">
        <f t="shared" si="48"/>
        <v>0</v>
      </c>
      <c r="L87" s="52">
        <f t="shared" si="48"/>
        <v>0</v>
      </c>
      <c r="M87" s="52">
        <f t="shared" si="48"/>
        <v>0</v>
      </c>
      <c r="N87" s="52">
        <f t="shared" si="48"/>
        <v>0</v>
      </c>
      <c r="P87" s="43" t="s">
        <v>75</v>
      </c>
      <c r="Q87" s="52">
        <f t="shared" si="45"/>
        <v>2664.69</v>
      </c>
    </row>
    <row r="88" spans="1:18" x14ac:dyDescent="0.25">
      <c r="A88" t="s">
        <v>0</v>
      </c>
      <c r="C88" s="52">
        <f>SUM(C86:C87)*-1</f>
        <v>-15353.69</v>
      </c>
      <c r="D88" s="52">
        <f t="shared" ref="D88:N88" si="49">SUM(D86:D87)*-1</f>
        <v>0</v>
      </c>
      <c r="E88" s="52">
        <f t="shared" si="49"/>
        <v>0</v>
      </c>
      <c r="F88" s="52">
        <f t="shared" si="49"/>
        <v>0</v>
      </c>
      <c r="G88" s="52">
        <f t="shared" si="49"/>
        <v>0</v>
      </c>
      <c r="H88" s="52">
        <f t="shared" si="49"/>
        <v>0</v>
      </c>
      <c r="I88" s="52">
        <f t="shared" si="49"/>
        <v>0</v>
      </c>
      <c r="J88" s="52">
        <f t="shared" si="49"/>
        <v>0</v>
      </c>
      <c r="K88" s="52">
        <f t="shared" si="49"/>
        <v>0</v>
      </c>
      <c r="L88" s="52">
        <f t="shared" si="49"/>
        <v>0</v>
      </c>
      <c r="M88" s="52">
        <f t="shared" si="49"/>
        <v>0</v>
      </c>
      <c r="N88" s="52">
        <f t="shared" si="49"/>
        <v>0</v>
      </c>
      <c r="P88" s="43" t="s">
        <v>0</v>
      </c>
      <c r="Q88" s="52">
        <f t="shared" si="45"/>
        <v>-15353.69</v>
      </c>
    </row>
    <row r="89" spans="1:18" x14ac:dyDescent="0.25"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</row>
    <row r="90" spans="1:18" x14ac:dyDescent="0.25">
      <c r="A90" t="s">
        <v>42</v>
      </c>
      <c r="C90" s="233">
        <f>+C23</f>
        <v>3267</v>
      </c>
      <c r="D90" s="233">
        <f t="shared" ref="D90:N90" si="50">+D23</f>
        <v>2013</v>
      </c>
      <c r="E90" s="233">
        <f t="shared" si="50"/>
        <v>1867</v>
      </c>
      <c r="F90" s="233">
        <f t="shared" si="50"/>
        <v>1570</v>
      </c>
      <c r="G90" s="233">
        <f t="shared" si="50"/>
        <v>1326</v>
      </c>
      <c r="H90" s="233">
        <f t="shared" si="50"/>
        <v>1426</v>
      </c>
      <c r="I90" s="233">
        <f t="shared" si="50"/>
        <v>1244</v>
      </c>
      <c r="J90" s="233">
        <f t="shared" si="50"/>
        <v>1305</v>
      </c>
      <c r="K90" s="233">
        <f t="shared" si="50"/>
        <v>1156</v>
      </c>
      <c r="L90" s="233">
        <f t="shared" si="50"/>
        <v>1377</v>
      </c>
      <c r="M90" s="233">
        <f t="shared" si="50"/>
        <v>1267</v>
      </c>
      <c r="N90" s="233">
        <f t="shared" si="50"/>
        <v>1687</v>
      </c>
      <c r="O90" s="61"/>
      <c r="P90" s="156" t="s">
        <v>113</v>
      </c>
      <c r="Q90" s="235">
        <f t="shared" si="45"/>
        <v>19505</v>
      </c>
    </row>
    <row r="91" spans="1:18" x14ac:dyDescent="0.25">
      <c r="A91" t="s">
        <v>43</v>
      </c>
      <c r="C91" s="52">
        <f>+C24</f>
        <v>686.06999999999994</v>
      </c>
      <c r="D91" s="52">
        <f t="shared" ref="D91:N91" si="51">+D24</f>
        <v>422.72999999999996</v>
      </c>
      <c r="E91" s="52">
        <f t="shared" si="51"/>
        <v>392.07</v>
      </c>
      <c r="F91" s="52">
        <f t="shared" si="51"/>
        <v>329.7</v>
      </c>
      <c r="G91" s="52">
        <f t="shared" si="51"/>
        <v>278.45999999999998</v>
      </c>
      <c r="H91" s="52">
        <f t="shared" si="51"/>
        <v>299.45999999999998</v>
      </c>
      <c r="I91" s="52">
        <f t="shared" si="51"/>
        <v>261.24</v>
      </c>
      <c r="J91" s="52">
        <f t="shared" si="51"/>
        <v>274.05</v>
      </c>
      <c r="K91" s="52">
        <f t="shared" si="51"/>
        <v>242.76</v>
      </c>
      <c r="L91" s="52">
        <f t="shared" si="51"/>
        <v>289.17</v>
      </c>
      <c r="M91" s="52">
        <f t="shared" si="51"/>
        <v>266.07</v>
      </c>
      <c r="N91" s="52">
        <f t="shared" si="51"/>
        <v>354.27</v>
      </c>
      <c r="P91" s="156" t="s">
        <v>75</v>
      </c>
      <c r="Q91" s="235">
        <f t="shared" si="45"/>
        <v>4096.05</v>
      </c>
    </row>
    <row r="92" spans="1:18" x14ac:dyDescent="0.25">
      <c r="A92" t="s">
        <v>0</v>
      </c>
      <c r="C92" s="52">
        <f>SUM(C90:C91)*-1</f>
        <v>-3953.0699999999997</v>
      </c>
      <c r="D92" s="52">
        <f t="shared" ref="D92:N92" si="52">SUM(D90:D91)*-1</f>
        <v>-2435.73</v>
      </c>
      <c r="E92" s="52">
        <f t="shared" si="52"/>
        <v>-2259.0700000000002</v>
      </c>
      <c r="F92" s="52">
        <f t="shared" si="52"/>
        <v>-1899.7</v>
      </c>
      <c r="G92" s="52">
        <f t="shared" si="52"/>
        <v>-1604.46</v>
      </c>
      <c r="H92" s="52">
        <f t="shared" si="52"/>
        <v>-1725.46</v>
      </c>
      <c r="I92" s="52">
        <f t="shared" si="52"/>
        <v>-1505.24</v>
      </c>
      <c r="J92" s="52">
        <f t="shared" si="52"/>
        <v>-1579.05</v>
      </c>
      <c r="K92" s="52">
        <f t="shared" si="52"/>
        <v>-1398.76</v>
      </c>
      <c r="L92" s="52">
        <f t="shared" si="52"/>
        <v>-1666.17</v>
      </c>
      <c r="M92" s="52">
        <f t="shared" si="52"/>
        <v>-1533.07</v>
      </c>
      <c r="N92" s="52">
        <f t="shared" si="52"/>
        <v>-2041.27</v>
      </c>
      <c r="P92" s="156" t="s">
        <v>0</v>
      </c>
      <c r="Q92" s="235">
        <f t="shared" si="45"/>
        <v>-23601.05</v>
      </c>
      <c r="R92" s="3"/>
    </row>
    <row r="93" spans="1:18" x14ac:dyDescent="0.25"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8" x14ac:dyDescent="0.25">
      <c r="A94" t="s">
        <v>33</v>
      </c>
      <c r="C94" s="52">
        <f>$B$51/60</f>
        <v>370.73333333333335</v>
      </c>
      <c r="D94" s="52">
        <f t="shared" ref="D94:N94" si="53">$B$51/60</f>
        <v>370.73333333333335</v>
      </c>
      <c r="E94" s="52">
        <f t="shared" si="53"/>
        <v>370.73333333333335</v>
      </c>
      <c r="F94" s="52">
        <f t="shared" si="53"/>
        <v>370.73333333333335</v>
      </c>
      <c r="G94" s="52">
        <f t="shared" si="53"/>
        <v>370.73333333333335</v>
      </c>
      <c r="H94" s="52">
        <f t="shared" si="53"/>
        <v>370.73333333333335</v>
      </c>
      <c r="I94" s="52">
        <f t="shared" si="53"/>
        <v>370.73333333333335</v>
      </c>
      <c r="J94" s="52">
        <f t="shared" si="53"/>
        <v>370.73333333333335</v>
      </c>
      <c r="K94" s="52">
        <f t="shared" si="53"/>
        <v>370.73333333333335</v>
      </c>
      <c r="L94" s="52">
        <f t="shared" si="53"/>
        <v>370.73333333333335</v>
      </c>
      <c r="M94" s="52">
        <f t="shared" si="53"/>
        <v>370.73333333333335</v>
      </c>
      <c r="N94" s="52">
        <f t="shared" si="53"/>
        <v>370.73333333333335</v>
      </c>
      <c r="P94" s="43" t="s">
        <v>114</v>
      </c>
      <c r="Q94" s="52">
        <f t="shared" si="45"/>
        <v>4448.8000000000011</v>
      </c>
    </row>
    <row r="95" spans="1:18" x14ac:dyDescent="0.25">
      <c r="A95" t="s">
        <v>83</v>
      </c>
      <c r="C95" s="52">
        <f>-C94</f>
        <v>-370.73333333333335</v>
      </c>
      <c r="D95" s="52">
        <f t="shared" ref="D95:N95" si="54">-D94</f>
        <v>-370.73333333333335</v>
      </c>
      <c r="E95" s="52">
        <f t="shared" si="54"/>
        <v>-370.73333333333335</v>
      </c>
      <c r="F95" s="52">
        <f t="shared" si="54"/>
        <v>-370.73333333333335</v>
      </c>
      <c r="G95" s="52">
        <f t="shared" si="54"/>
        <v>-370.73333333333335</v>
      </c>
      <c r="H95" s="52">
        <f t="shared" si="54"/>
        <v>-370.73333333333335</v>
      </c>
      <c r="I95" s="52">
        <f t="shared" si="54"/>
        <v>-370.73333333333335</v>
      </c>
      <c r="J95" s="52">
        <f t="shared" si="54"/>
        <v>-370.73333333333335</v>
      </c>
      <c r="K95" s="52">
        <f t="shared" si="54"/>
        <v>-370.73333333333335</v>
      </c>
      <c r="L95" s="52">
        <f t="shared" si="54"/>
        <v>-370.73333333333335</v>
      </c>
      <c r="M95" s="52">
        <f t="shared" si="54"/>
        <v>-370.73333333333335</v>
      </c>
      <c r="N95" s="52">
        <f t="shared" si="54"/>
        <v>-370.73333333333335</v>
      </c>
      <c r="P95" s="43" t="s">
        <v>98</v>
      </c>
      <c r="Q95" s="52">
        <f t="shared" si="45"/>
        <v>-4448.8000000000011</v>
      </c>
    </row>
    <row r="96" spans="1:18" x14ac:dyDescent="0.25"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</row>
    <row r="97" spans="1:17" x14ac:dyDescent="0.25">
      <c r="A97" t="s">
        <v>34</v>
      </c>
      <c r="C97" s="52">
        <f>$B$52/120</f>
        <v>819.625</v>
      </c>
      <c r="D97" s="52">
        <f t="shared" ref="D97:N97" si="55">$B$52/120</f>
        <v>819.625</v>
      </c>
      <c r="E97" s="52">
        <f t="shared" si="55"/>
        <v>819.625</v>
      </c>
      <c r="F97" s="52">
        <f t="shared" si="55"/>
        <v>819.625</v>
      </c>
      <c r="G97" s="52">
        <f t="shared" si="55"/>
        <v>819.625</v>
      </c>
      <c r="H97" s="52">
        <f t="shared" si="55"/>
        <v>819.625</v>
      </c>
      <c r="I97" s="52">
        <f t="shared" si="55"/>
        <v>819.625</v>
      </c>
      <c r="J97" s="52">
        <f t="shared" si="55"/>
        <v>819.625</v>
      </c>
      <c r="K97" s="52">
        <f t="shared" si="55"/>
        <v>819.625</v>
      </c>
      <c r="L97" s="52">
        <f t="shared" si="55"/>
        <v>819.625</v>
      </c>
      <c r="M97" s="52">
        <f t="shared" si="55"/>
        <v>819.625</v>
      </c>
      <c r="N97" s="52">
        <f t="shared" si="55"/>
        <v>819.625</v>
      </c>
      <c r="P97" s="43" t="s">
        <v>115</v>
      </c>
      <c r="Q97" s="52">
        <f t="shared" si="45"/>
        <v>9835.5</v>
      </c>
    </row>
    <row r="98" spans="1:17" x14ac:dyDescent="0.25">
      <c r="A98" t="s">
        <v>84</v>
      </c>
      <c r="C98" s="52">
        <f>-C97</f>
        <v>-819.625</v>
      </c>
      <c r="D98" s="52">
        <f t="shared" ref="D98:N98" si="56">-D97</f>
        <v>-819.625</v>
      </c>
      <c r="E98" s="52">
        <f t="shared" si="56"/>
        <v>-819.625</v>
      </c>
      <c r="F98" s="52">
        <f t="shared" si="56"/>
        <v>-819.625</v>
      </c>
      <c r="G98" s="52">
        <f t="shared" si="56"/>
        <v>-819.625</v>
      </c>
      <c r="H98" s="52">
        <f t="shared" si="56"/>
        <v>-819.625</v>
      </c>
      <c r="I98" s="52">
        <f t="shared" si="56"/>
        <v>-819.625</v>
      </c>
      <c r="J98" s="52">
        <f t="shared" si="56"/>
        <v>-819.625</v>
      </c>
      <c r="K98" s="52">
        <f t="shared" si="56"/>
        <v>-819.625</v>
      </c>
      <c r="L98" s="52">
        <f t="shared" si="56"/>
        <v>-819.625</v>
      </c>
      <c r="M98" s="52">
        <f t="shared" si="56"/>
        <v>-819.625</v>
      </c>
      <c r="N98" s="52">
        <f t="shared" si="56"/>
        <v>-819.625</v>
      </c>
      <c r="P98" s="43" t="s">
        <v>99</v>
      </c>
      <c r="Q98" s="52">
        <f t="shared" si="45"/>
        <v>-9835.5</v>
      </c>
    </row>
    <row r="99" spans="1:17" x14ac:dyDescent="0.25"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</row>
    <row r="100" spans="1:17" x14ac:dyDescent="0.25">
      <c r="A100" t="s">
        <v>35</v>
      </c>
      <c r="C100" s="52">
        <f>$B$53/60</f>
        <v>745.88333333333333</v>
      </c>
      <c r="D100" s="52">
        <f t="shared" ref="D100:N100" si="57">$B$53/60</f>
        <v>745.88333333333333</v>
      </c>
      <c r="E100" s="52">
        <f t="shared" si="57"/>
        <v>745.88333333333333</v>
      </c>
      <c r="F100" s="52">
        <f t="shared" si="57"/>
        <v>745.88333333333333</v>
      </c>
      <c r="G100" s="52">
        <f t="shared" si="57"/>
        <v>745.88333333333333</v>
      </c>
      <c r="H100" s="52">
        <f t="shared" si="57"/>
        <v>745.88333333333333</v>
      </c>
      <c r="I100" s="52">
        <f t="shared" si="57"/>
        <v>745.88333333333333</v>
      </c>
      <c r="J100" s="52">
        <f t="shared" si="57"/>
        <v>745.88333333333333</v>
      </c>
      <c r="K100" s="52">
        <f t="shared" si="57"/>
        <v>745.88333333333333</v>
      </c>
      <c r="L100" s="52">
        <f t="shared" si="57"/>
        <v>745.88333333333333</v>
      </c>
      <c r="M100" s="52">
        <f t="shared" si="57"/>
        <v>745.88333333333333</v>
      </c>
      <c r="N100" s="52">
        <f t="shared" si="57"/>
        <v>745.88333333333333</v>
      </c>
      <c r="P100" s="43" t="s">
        <v>116</v>
      </c>
      <c r="Q100" s="52">
        <f t="shared" si="45"/>
        <v>8950.6</v>
      </c>
    </row>
    <row r="101" spans="1:17" x14ac:dyDescent="0.25">
      <c r="A101" t="s">
        <v>88</v>
      </c>
      <c r="C101" s="52">
        <f>-C100</f>
        <v>-745.88333333333333</v>
      </c>
      <c r="D101" s="52">
        <f t="shared" ref="D101:N101" si="58">-D100</f>
        <v>-745.88333333333333</v>
      </c>
      <c r="E101" s="52">
        <f t="shared" si="58"/>
        <v>-745.88333333333333</v>
      </c>
      <c r="F101" s="52">
        <f t="shared" si="58"/>
        <v>-745.88333333333333</v>
      </c>
      <c r="G101" s="52">
        <f t="shared" si="58"/>
        <v>-745.88333333333333</v>
      </c>
      <c r="H101" s="52">
        <f t="shared" si="58"/>
        <v>-745.88333333333333</v>
      </c>
      <c r="I101" s="52">
        <f t="shared" si="58"/>
        <v>-745.88333333333333</v>
      </c>
      <c r="J101" s="52">
        <f t="shared" si="58"/>
        <v>-745.88333333333333</v>
      </c>
      <c r="K101" s="52">
        <f t="shared" si="58"/>
        <v>-745.88333333333333</v>
      </c>
      <c r="L101" s="52">
        <f t="shared" si="58"/>
        <v>-745.88333333333333</v>
      </c>
      <c r="M101" s="52">
        <f t="shared" si="58"/>
        <v>-745.88333333333333</v>
      </c>
      <c r="N101" s="52">
        <f t="shared" si="58"/>
        <v>-745.88333333333333</v>
      </c>
      <c r="P101" s="43" t="s">
        <v>100</v>
      </c>
      <c r="Q101" s="52">
        <f t="shared" si="45"/>
        <v>-8950.6</v>
      </c>
    </row>
    <row r="102" spans="1:17" x14ac:dyDescent="0.25"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Q102" s="3"/>
    </row>
    <row r="103" spans="1:17" x14ac:dyDescent="0.25">
      <c r="A103" t="s">
        <v>44</v>
      </c>
      <c r="C103" s="233">
        <f>+C28</f>
        <v>1650</v>
      </c>
      <c r="D103" s="233">
        <f t="shared" ref="D103:N103" si="59">+D28</f>
        <v>1253</v>
      </c>
      <c r="E103" s="233">
        <f t="shared" si="59"/>
        <v>1543</v>
      </c>
      <c r="F103" s="233">
        <f t="shared" si="59"/>
        <v>1983</v>
      </c>
      <c r="G103" s="233">
        <f t="shared" si="59"/>
        <v>1056</v>
      </c>
      <c r="H103" s="233">
        <f t="shared" si="59"/>
        <v>3356</v>
      </c>
      <c r="I103" s="233">
        <f t="shared" si="59"/>
        <v>1376</v>
      </c>
      <c r="J103" s="233">
        <f t="shared" si="59"/>
        <v>2211</v>
      </c>
      <c r="K103" s="233">
        <f t="shared" si="59"/>
        <v>2137</v>
      </c>
      <c r="L103" s="233">
        <f t="shared" si="59"/>
        <v>2240</v>
      </c>
      <c r="M103" s="233">
        <f t="shared" si="59"/>
        <v>2456</v>
      </c>
      <c r="N103" s="233">
        <f t="shared" si="59"/>
        <v>2301</v>
      </c>
      <c r="P103" s="43" t="s">
        <v>117</v>
      </c>
      <c r="Q103" s="52">
        <f t="shared" si="45"/>
        <v>23562</v>
      </c>
    </row>
    <row r="104" spans="1:17" x14ac:dyDescent="0.25">
      <c r="A104" t="s">
        <v>75</v>
      </c>
      <c r="C104" s="52">
        <f>+C29</f>
        <v>346.5</v>
      </c>
      <c r="D104" s="52">
        <f t="shared" ref="D104:N104" si="60">+D29</f>
        <v>263.13</v>
      </c>
      <c r="E104" s="52">
        <f t="shared" si="60"/>
        <v>324.02999999999997</v>
      </c>
      <c r="F104" s="52">
        <f t="shared" si="60"/>
        <v>416.43</v>
      </c>
      <c r="G104" s="52">
        <f t="shared" si="60"/>
        <v>221.76</v>
      </c>
      <c r="H104" s="52">
        <f t="shared" si="60"/>
        <v>704.76</v>
      </c>
      <c r="I104" s="52">
        <f t="shared" si="60"/>
        <v>288.95999999999998</v>
      </c>
      <c r="J104" s="52">
        <f t="shared" si="60"/>
        <v>464.31</v>
      </c>
      <c r="K104" s="52">
        <f t="shared" si="60"/>
        <v>448.77</v>
      </c>
      <c r="L104" s="52">
        <f t="shared" si="60"/>
        <v>470.4</v>
      </c>
      <c r="M104" s="52">
        <f t="shared" si="60"/>
        <v>515.76</v>
      </c>
      <c r="N104" s="52">
        <f t="shared" si="60"/>
        <v>483.21</v>
      </c>
      <c r="P104" s="43" t="s">
        <v>75</v>
      </c>
      <c r="Q104" s="52">
        <f t="shared" si="45"/>
        <v>4948.0199999999995</v>
      </c>
    </row>
    <row r="105" spans="1:17" x14ac:dyDescent="0.25">
      <c r="A105" t="s">
        <v>0</v>
      </c>
      <c r="C105" s="52">
        <f>SUM(C103:C104)*-1</f>
        <v>-1996.5</v>
      </c>
      <c r="D105" s="52">
        <f t="shared" ref="D105:N105" si="61">SUM(D103:D104)*-1</f>
        <v>-1516.13</v>
      </c>
      <c r="E105" s="52">
        <f t="shared" si="61"/>
        <v>-1867.03</v>
      </c>
      <c r="F105" s="52">
        <f t="shared" si="61"/>
        <v>-2399.4299999999998</v>
      </c>
      <c r="G105" s="52">
        <f t="shared" si="61"/>
        <v>-1277.76</v>
      </c>
      <c r="H105" s="52">
        <f t="shared" si="61"/>
        <v>-4060.76</v>
      </c>
      <c r="I105" s="52">
        <f t="shared" si="61"/>
        <v>-1664.96</v>
      </c>
      <c r="J105" s="52">
        <f t="shared" si="61"/>
        <v>-2675.31</v>
      </c>
      <c r="K105" s="52">
        <f t="shared" si="61"/>
        <v>-2585.77</v>
      </c>
      <c r="L105" s="52">
        <f t="shared" si="61"/>
        <v>-2710.4</v>
      </c>
      <c r="M105" s="52">
        <f t="shared" si="61"/>
        <v>-2971.76</v>
      </c>
      <c r="N105" s="52">
        <f t="shared" si="61"/>
        <v>-2784.21</v>
      </c>
      <c r="P105" s="43" t="s">
        <v>0</v>
      </c>
      <c r="Q105" s="52">
        <f t="shared" si="45"/>
        <v>-28510.020000000004</v>
      </c>
    </row>
    <row r="106" spans="1:17" x14ac:dyDescent="0.25"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Q106" s="3"/>
    </row>
    <row r="107" spans="1:17" x14ac:dyDescent="0.25">
      <c r="A107" t="s">
        <v>46</v>
      </c>
      <c r="C107" s="233">
        <f>+C30</f>
        <v>2000</v>
      </c>
      <c r="D107" s="233">
        <f t="shared" ref="D107:N107" si="62">+D30</f>
        <v>2000</v>
      </c>
      <c r="E107" s="233">
        <f t="shared" si="62"/>
        <v>2000</v>
      </c>
      <c r="F107" s="233">
        <f t="shared" si="62"/>
        <v>2000</v>
      </c>
      <c r="G107" s="233">
        <f t="shared" si="62"/>
        <v>2000</v>
      </c>
      <c r="H107" s="233">
        <f t="shared" si="62"/>
        <v>2000</v>
      </c>
      <c r="I107" s="233">
        <f t="shared" si="62"/>
        <v>2000</v>
      </c>
      <c r="J107" s="233">
        <f t="shared" si="62"/>
        <v>2000</v>
      </c>
      <c r="K107" s="233">
        <f t="shared" si="62"/>
        <v>2000</v>
      </c>
      <c r="L107" s="233">
        <f t="shared" si="62"/>
        <v>2000</v>
      </c>
      <c r="M107" s="233">
        <f t="shared" si="62"/>
        <v>2500</v>
      </c>
      <c r="N107" s="233">
        <f t="shared" si="62"/>
        <v>2500</v>
      </c>
      <c r="P107" s="43" t="s">
        <v>118</v>
      </c>
      <c r="Q107" s="52">
        <f t="shared" si="45"/>
        <v>25000</v>
      </c>
    </row>
    <row r="108" spans="1:17" x14ac:dyDescent="0.25">
      <c r="A108" t="s">
        <v>75</v>
      </c>
      <c r="C108" s="52">
        <f>+C31</f>
        <v>420</v>
      </c>
      <c r="D108" s="52">
        <f t="shared" ref="D108:N108" si="63">+D31</f>
        <v>420</v>
      </c>
      <c r="E108" s="52">
        <f t="shared" si="63"/>
        <v>420</v>
      </c>
      <c r="F108" s="52">
        <f t="shared" si="63"/>
        <v>420</v>
      </c>
      <c r="G108" s="52">
        <f t="shared" si="63"/>
        <v>420</v>
      </c>
      <c r="H108" s="52">
        <f t="shared" si="63"/>
        <v>420</v>
      </c>
      <c r="I108" s="52">
        <f t="shared" si="63"/>
        <v>420</v>
      </c>
      <c r="J108" s="52">
        <f t="shared" si="63"/>
        <v>420</v>
      </c>
      <c r="K108" s="52">
        <f t="shared" si="63"/>
        <v>420</v>
      </c>
      <c r="L108" s="52">
        <f t="shared" si="63"/>
        <v>420</v>
      </c>
      <c r="M108" s="52">
        <f t="shared" si="63"/>
        <v>525</v>
      </c>
      <c r="N108" s="52">
        <f t="shared" si="63"/>
        <v>525</v>
      </c>
      <c r="P108" s="43" t="s">
        <v>75</v>
      </c>
      <c r="Q108" s="52">
        <f t="shared" si="45"/>
        <v>5250</v>
      </c>
    </row>
    <row r="109" spans="1:17" x14ac:dyDescent="0.25">
      <c r="A109" t="s">
        <v>0</v>
      </c>
      <c r="C109" s="52">
        <f>SUM(C107:C108)*-1</f>
        <v>-2420</v>
      </c>
      <c r="D109" s="52">
        <f t="shared" ref="D109:M109" si="64">SUM(D107:D108)*-1</f>
        <v>-2420</v>
      </c>
      <c r="E109" s="52">
        <f t="shared" si="64"/>
        <v>-2420</v>
      </c>
      <c r="F109" s="52">
        <f t="shared" si="64"/>
        <v>-2420</v>
      </c>
      <c r="G109" s="52">
        <f t="shared" si="64"/>
        <v>-2420</v>
      </c>
      <c r="H109" s="52">
        <f t="shared" si="64"/>
        <v>-2420</v>
      </c>
      <c r="I109" s="52">
        <f t="shared" si="64"/>
        <v>-2420</v>
      </c>
      <c r="J109" s="52">
        <f t="shared" si="64"/>
        <v>-2420</v>
      </c>
      <c r="K109" s="52">
        <f t="shared" si="64"/>
        <v>-2420</v>
      </c>
      <c r="L109" s="52">
        <f t="shared" si="64"/>
        <v>-2420</v>
      </c>
      <c r="M109" s="52">
        <f t="shared" si="64"/>
        <v>-3025</v>
      </c>
      <c r="N109" s="185">
        <v>0</v>
      </c>
      <c r="P109" s="43" t="s">
        <v>0</v>
      </c>
      <c r="Q109" s="52">
        <f t="shared" si="45"/>
        <v>-27225</v>
      </c>
    </row>
    <row r="110" spans="1:17" x14ac:dyDescent="0.25">
      <c r="A110" t="s">
        <v>93</v>
      </c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185">
        <f>SUM(N107:N109)*-1</f>
        <v>-3025</v>
      </c>
      <c r="P110" s="43" t="s">
        <v>119</v>
      </c>
      <c r="Q110" s="52">
        <f t="shared" si="45"/>
        <v>-3025</v>
      </c>
    </row>
    <row r="111" spans="1:17" x14ac:dyDescent="0.25"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Q111" s="3"/>
    </row>
    <row r="112" spans="1:17" x14ac:dyDescent="0.25">
      <c r="A112" t="s">
        <v>70</v>
      </c>
      <c r="C112" s="52">
        <f>+C32</f>
        <v>4278.42</v>
      </c>
      <c r="D112" s="52">
        <f t="shared" ref="D112:N112" si="65">+D32</f>
        <v>3785.94</v>
      </c>
      <c r="E112" s="52">
        <f t="shared" si="65"/>
        <v>3437.91</v>
      </c>
      <c r="F112" s="52">
        <f t="shared" si="65"/>
        <v>4433.9399999999996</v>
      </c>
      <c r="G112" s="52">
        <f t="shared" si="65"/>
        <v>4050</v>
      </c>
      <c r="H112" s="52">
        <f t="shared" si="65"/>
        <v>4966.92</v>
      </c>
      <c r="I112" s="52">
        <f t="shared" si="65"/>
        <v>5712.12</v>
      </c>
      <c r="J112" s="52">
        <f t="shared" si="65"/>
        <v>5788.8</v>
      </c>
      <c r="K112" s="52">
        <f t="shared" si="65"/>
        <v>5924.34</v>
      </c>
      <c r="L112" s="52">
        <f t="shared" si="65"/>
        <v>6073.38</v>
      </c>
      <c r="M112" s="52">
        <f t="shared" si="65"/>
        <v>6433.83</v>
      </c>
      <c r="N112" s="52">
        <f t="shared" si="65"/>
        <v>7410.96</v>
      </c>
      <c r="P112" s="43" t="s">
        <v>120</v>
      </c>
      <c r="Q112" s="52">
        <f t="shared" si="45"/>
        <v>62296.56</v>
      </c>
    </row>
    <row r="113" spans="1:17" x14ac:dyDescent="0.25">
      <c r="A113" t="s">
        <v>69</v>
      </c>
      <c r="C113" s="233">
        <f>+C33</f>
        <v>356</v>
      </c>
      <c r="D113" s="233">
        <f t="shared" ref="D113:N113" si="66">+D33</f>
        <v>389</v>
      </c>
      <c r="E113" s="233">
        <f t="shared" si="66"/>
        <v>432</v>
      </c>
      <c r="F113" s="233">
        <f t="shared" si="66"/>
        <v>456</v>
      </c>
      <c r="G113" s="233">
        <f t="shared" si="66"/>
        <v>459</v>
      </c>
      <c r="H113" s="233">
        <f t="shared" si="66"/>
        <v>472</v>
      </c>
      <c r="I113" s="233">
        <f t="shared" si="66"/>
        <v>475</v>
      </c>
      <c r="J113" s="233">
        <f t="shared" si="66"/>
        <v>478</v>
      </c>
      <c r="K113" s="233">
        <f t="shared" si="66"/>
        <v>483</v>
      </c>
      <c r="L113" s="233">
        <f t="shared" si="66"/>
        <v>486</v>
      </c>
      <c r="M113" s="233">
        <f t="shared" si="66"/>
        <v>486</v>
      </c>
      <c r="N113" s="233">
        <f t="shared" si="66"/>
        <v>498</v>
      </c>
      <c r="P113" s="43" t="s">
        <v>121</v>
      </c>
      <c r="Q113" s="52">
        <f t="shared" si="45"/>
        <v>5470</v>
      </c>
    </row>
    <row r="114" spans="1:17" x14ac:dyDescent="0.25">
      <c r="A114" t="s">
        <v>0</v>
      </c>
      <c r="C114" s="52">
        <f>SUM(C112:C113)*-1</f>
        <v>-4634.42</v>
      </c>
      <c r="D114" s="52">
        <f t="shared" ref="D114:M114" si="67">SUM(D112:D113)*-1</f>
        <v>-4174.9400000000005</v>
      </c>
      <c r="E114" s="52">
        <f t="shared" si="67"/>
        <v>-3869.91</v>
      </c>
      <c r="F114" s="52">
        <f t="shared" si="67"/>
        <v>-4889.9399999999996</v>
      </c>
      <c r="G114" s="52">
        <f t="shared" si="67"/>
        <v>-4509</v>
      </c>
      <c r="H114" s="52">
        <f t="shared" si="67"/>
        <v>-5438.92</v>
      </c>
      <c r="I114" s="52">
        <f t="shared" si="67"/>
        <v>-6187.12</v>
      </c>
      <c r="J114" s="52">
        <f t="shared" si="67"/>
        <v>-6266.8</v>
      </c>
      <c r="K114" s="52">
        <f t="shared" si="67"/>
        <v>-6407.34</v>
      </c>
      <c r="L114" s="52">
        <f t="shared" si="67"/>
        <v>-6559.38</v>
      </c>
      <c r="M114" s="52">
        <f t="shared" si="67"/>
        <v>-6919.83</v>
      </c>
      <c r="N114" s="52"/>
      <c r="P114" s="43" t="s">
        <v>0</v>
      </c>
      <c r="Q114" s="52">
        <f t="shared" si="45"/>
        <v>-59857.599999999999</v>
      </c>
    </row>
    <row r="115" spans="1:17" x14ac:dyDescent="0.25">
      <c r="A115" t="s">
        <v>94</v>
      </c>
      <c r="C115" s="61"/>
      <c r="D115" s="61"/>
      <c r="E115" s="61"/>
      <c r="F115" s="61"/>
      <c r="G115" s="61"/>
      <c r="H115" s="61"/>
      <c r="I115" s="61"/>
      <c r="J115" s="61"/>
      <c r="K115" s="61"/>
      <c r="L115" s="61"/>
      <c r="M115" s="61"/>
      <c r="N115" s="185">
        <f>SUM(N112:N114)*-1</f>
        <v>-7908.96</v>
      </c>
      <c r="P115" s="43" t="s">
        <v>122</v>
      </c>
      <c r="Q115" s="52">
        <f t="shared" si="45"/>
        <v>-7908.96</v>
      </c>
    </row>
    <row r="116" spans="1:17" x14ac:dyDescent="0.25"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Q116" s="3"/>
    </row>
    <row r="117" spans="1:17" x14ac:dyDescent="0.25">
      <c r="A117" t="s">
        <v>48</v>
      </c>
      <c r="C117" s="233">
        <f>+C34</f>
        <v>1850</v>
      </c>
      <c r="D117" s="233">
        <f t="shared" ref="D117:N117" si="68">+D34</f>
        <v>2350</v>
      </c>
      <c r="E117" s="233">
        <f t="shared" si="68"/>
        <v>2001</v>
      </c>
      <c r="F117" s="233">
        <f t="shared" si="68"/>
        <v>1953</v>
      </c>
      <c r="G117" s="233">
        <f t="shared" si="68"/>
        <v>2167</v>
      </c>
      <c r="H117" s="233">
        <f t="shared" si="68"/>
        <v>2350</v>
      </c>
      <c r="I117" s="233">
        <f t="shared" si="68"/>
        <v>1860</v>
      </c>
      <c r="J117" s="233">
        <f t="shared" si="68"/>
        <v>2435</v>
      </c>
      <c r="K117" s="233">
        <f t="shared" si="68"/>
        <v>2567</v>
      </c>
      <c r="L117" s="233">
        <f t="shared" si="68"/>
        <v>2633</v>
      </c>
      <c r="M117" s="233">
        <f t="shared" si="68"/>
        <v>2756</v>
      </c>
      <c r="N117" s="233">
        <f t="shared" si="68"/>
        <v>2890</v>
      </c>
      <c r="P117" s="43" t="s">
        <v>123</v>
      </c>
      <c r="Q117" s="52">
        <f t="shared" si="45"/>
        <v>27812</v>
      </c>
    </row>
    <row r="118" spans="1:17" x14ac:dyDescent="0.25">
      <c r="A118" t="s">
        <v>75</v>
      </c>
      <c r="C118" s="52">
        <f>+C35</f>
        <v>388.5</v>
      </c>
      <c r="D118" s="52">
        <f t="shared" ref="D118:N118" si="69">+D35</f>
        <v>493.5</v>
      </c>
      <c r="E118" s="52">
        <f t="shared" si="69"/>
        <v>420.21</v>
      </c>
      <c r="F118" s="52">
        <f t="shared" si="69"/>
        <v>410.13</v>
      </c>
      <c r="G118" s="52">
        <f t="shared" si="69"/>
        <v>455.07</v>
      </c>
      <c r="H118" s="52">
        <f t="shared" si="69"/>
        <v>493.5</v>
      </c>
      <c r="I118" s="52">
        <f t="shared" si="69"/>
        <v>390.59999999999997</v>
      </c>
      <c r="J118" s="52">
        <f t="shared" si="69"/>
        <v>511.34999999999997</v>
      </c>
      <c r="K118" s="52">
        <f t="shared" si="69"/>
        <v>539.06999999999994</v>
      </c>
      <c r="L118" s="52">
        <f t="shared" si="69"/>
        <v>552.92999999999995</v>
      </c>
      <c r="M118" s="52">
        <f t="shared" si="69"/>
        <v>578.76</v>
      </c>
      <c r="N118" s="52">
        <f t="shared" si="69"/>
        <v>606.9</v>
      </c>
      <c r="P118" s="43" t="s">
        <v>75</v>
      </c>
      <c r="Q118" s="52">
        <f t="shared" si="45"/>
        <v>5840.52</v>
      </c>
    </row>
    <row r="119" spans="1:17" x14ac:dyDescent="0.25">
      <c r="A119" t="s">
        <v>0</v>
      </c>
      <c r="C119" s="52">
        <f>SUM(C117:C118)*-1</f>
        <v>-2238.5</v>
      </c>
      <c r="D119" s="52">
        <f t="shared" ref="D119:N119" si="70">SUM(D117:D118)*-1</f>
        <v>-2843.5</v>
      </c>
      <c r="E119" s="52">
        <f t="shared" si="70"/>
        <v>-2421.21</v>
      </c>
      <c r="F119" s="52">
        <f t="shared" si="70"/>
        <v>-2363.13</v>
      </c>
      <c r="G119" s="52">
        <f t="shared" si="70"/>
        <v>-2622.07</v>
      </c>
      <c r="H119" s="52">
        <f t="shared" si="70"/>
        <v>-2843.5</v>
      </c>
      <c r="I119" s="52">
        <f t="shared" si="70"/>
        <v>-2250.6</v>
      </c>
      <c r="J119" s="52">
        <f t="shared" si="70"/>
        <v>-2946.35</v>
      </c>
      <c r="K119" s="52">
        <f t="shared" si="70"/>
        <v>-3106.0699999999997</v>
      </c>
      <c r="L119" s="52">
        <f t="shared" si="70"/>
        <v>-3185.93</v>
      </c>
      <c r="M119" s="52">
        <f t="shared" si="70"/>
        <v>-3334.76</v>
      </c>
      <c r="N119" s="52">
        <f t="shared" si="70"/>
        <v>-3496.9</v>
      </c>
      <c r="P119" s="43" t="s">
        <v>0</v>
      </c>
      <c r="Q119" s="52">
        <f t="shared" si="45"/>
        <v>-33652.519999999997</v>
      </c>
    </row>
    <row r="120" spans="1:17" x14ac:dyDescent="0.25"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Q120" s="3"/>
    </row>
    <row r="121" spans="1:17" x14ac:dyDescent="0.25">
      <c r="A121" t="s">
        <v>71</v>
      </c>
      <c r="C121" s="233">
        <f>+C36</f>
        <v>1500</v>
      </c>
      <c r="D121" s="233">
        <f t="shared" ref="D121:N121" si="71">+D36</f>
        <v>1500</v>
      </c>
      <c r="E121" s="233">
        <f t="shared" si="71"/>
        <v>1500</v>
      </c>
      <c r="F121" s="233">
        <f t="shared" si="71"/>
        <v>1500</v>
      </c>
      <c r="G121" s="233">
        <f t="shared" si="71"/>
        <v>1500</v>
      </c>
      <c r="H121" s="233">
        <f t="shared" si="71"/>
        <v>1500</v>
      </c>
      <c r="I121" s="233">
        <f t="shared" si="71"/>
        <v>1700</v>
      </c>
      <c r="J121" s="233">
        <f t="shared" si="71"/>
        <v>1700</v>
      </c>
      <c r="K121" s="233">
        <f t="shared" si="71"/>
        <v>1700</v>
      </c>
      <c r="L121" s="233">
        <f t="shared" si="71"/>
        <v>1700</v>
      </c>
      <c r="M121" s="233">
        <f t="shared" si="71"/>
        <v>1700</v>
      </c>
      <c r="N121" s="233">
        <f t="shared" si="71"/>
        <v>1700</v>
      </c>
      <c r="P121" s="43" t="s">
        <v>124</v>
      </c>
      <c r="Q121" s="52">
        <f t="shared" si="45"/>
        <v>19200</v>
      </c>
    </row>
    <row r="122" spans="1:17" x14ac:dyDescent="0.25">
      <c r="A122" t="s">
        <v>75</v>
      </c>
      <c r="C122" s="52">
        <f>+C37</f>
        <v>315</v>
      </c>
      <c r="D122" s="52">
        <f t="shared" ref="D122:N122" si="72">+D37</f>
        <v>315</v>
      </c>
      <c r="E122" s="52">
        <f t="shared" si="72"/>
        <v>315</v>
      </c>
      <c r="F122" s="52">
        <f t="shared" si="72"/>
        <v>315</v>
      </c>
      <c r="G122" s="52">
        <f t="shared" si="72"/>
        <v>315</v>
      </c>
      <c r="H122" s="52">
        <f t="shared" si="72"/>
        <v>315</v>
      </c>
      <c r="I122" s="52">
        <f t="shared" si="72"/>
        <v>357</v>
      </c>
      <c r="J122" s="52">
        <f t="shared" si="72"/>
        <v>357</v>
      </c>
      <c r="K122" s="52">
        <f t="shared" si="72"/>
        <v>357</v>
      </c>
      <c r="L122" s="52">
        <f t="shared" si="72"/>
        <v>357</v>
      </c>
      <c r="M122" s="52">
        <f t="shared" si="72"/>
        <v>357</v>
      </c>
      <c r="N122" s="52">
        <f t="shared" si="72"/>
        <v>357</v>
      </c>
      <c r="P122" s="43" t="s">
        <v>75</v>
      </c>
      <c r="Q122" s="52">
        <f t="shared" si="45"/>
        <v>4032</v>
      </c>
    </row>
    <row r="123" spans="1:17" x14ac:dyDescent="0.25">
      <c r="A123" t="s">
        <v>0</v>
      </c>
      <c r="C123" s="52">
        <f>SUM(C121:C122)*-1</f>
        <v>-1815</v>
      </c>
      <c r="D123" s="52">
        <f t="shared" ref="D123:N123" si="73">SUM(D121:D122)*-1</f>
        <v>-1815</v>
      </c>
      <c r="E123" s="52">
        <f t="shared" si="73"/>
        <v>-1815</v>
      </c>
      <c r="F123" s="52">
        <f t="shared" si="73"/>
        <v>-1815</v>
      </c>
      <c r="G123" s="52">
        <f t="shared" si="73"/>
        <v>-1815</v>
      </c>
      <c r="H123" s="52">
        <f t="shared" si="73"/>
        <v>-1815</v>
      </c>
      <c r="I123" s="52">
        <f t="shared" si="73"/>
        <v>-2057</v>
      </c>
      <c r="J123" s="52">
        <f t="shared" si="73"/>
        <v>-2057</v>
      </c>
      <c r="K123" s="52">
        <f t="shared" si="73"/>
        <v>-2057</v>
      </c>
      <c r="L123" s="52">
        <f t="shared" si="73"/>
        <v>-2057</v>
      </c>
      <c r="M123" s="52">
        <f t="shared" si="73"/>
        <v>-2057</v>
      </c>
      <c r="N123" s="52">
        <f t="shared" si="73"/>
        <v>-2057</v>
      </c>
      <c r="P123" s="43" t="s">
        <v>0</v>
      </c>
      <c r="Q123" s="52">
        <f t="shared" si="45"/>
        <v>-23232</v>
      </c>
    </row>
    <row r="124" spans="1:17" x14ac:dyDescent="0.25"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Q124" s="3"/>
    </row>
    <row r="125" spans="1:17" x14ac:dyDescent="0.25">
      <c r="A125" t="s">
        <v>50</v>
      </c>
      <c r="C125" s="233">
        <f>+C38</f>
        <v>150</v>
      </c>
      <c r="D125" s="233">
        <f t="shared" ref="D125:N125" si="74">+D38</f>
        <v>150</v>
      </c>
      <c r="E125" s="233">
        <f t="shared" si="74"/>
        <v>150</v>
      </c>
      <c r="F125" s="233">
        <f t="shared" si="74"/>
        <v>150</v>
      </c>
      <c r="G125" s="233">
        <f t="shared" si="74"/>
        <v>150</v>
      </c>
      <c r="H125" s="233">
        <f t="shared" si="74"/>
        <v>150</v>
      </c>
      <c r="I125" s="233">
        <f t="shared" si="74"/>
        <v>150</v>
      </c>
      <c r="J125" s="233">
        <f t="shared" si="74"/>
        <v>150</v>
      </c>
      <c r="K125" s="233">
        <f t="shared" si="74"/>
        <v>180</v>
      </c>
      <c r="L125" s="233">
        <f t="shared" si="74"/>
        <v>180</v>
      </c>
      <c r="M125" s="233">
        <f t="shared" si="74"/>
        <v>180</v>
      </c>
      <c r="N125" s="233">
        <f t="shared" si="74"/>
        <v>180</v>
      </c>
      <c r="P125" s="43" t="s">
        <v>125</v>
      </c>
      <c r="Q125" s="52">
        <f t="shared" si="45"/>
        <v>1920</v>
      </c>
    </row>
    <row r="126" spans="1:17" x14ac:dyDescent="0.25">
      <c r="A126" t="s">
        <v>75</v>
      </c>
      <c r="C126" s="52">
        <f>+C39</f>
        <v>31.5</v>
      </c>
      <c r="D126" s="52">
        <f t="shared" ref="D126:N126" si="75">+D39</f>
        <v>31.5</v>
      </c>
      <c r="E126" s="52">
        <f t="shared" si="75"/>
        <v>31.5</v>
      </c>
      <c r="F126" s="52">
        <f t="shared" si="75"/>
        <v>31.5</v>
      </c>
      <c r="G126" s="52">
        <f t="shared" si="75"/>
        <v>31.5</v>
      </c>
      <c r="H126" s="52">
        <f t="shared" si="75"/>
        <v>31.5</v>
      </c>
      <c r="I126" s="52">
        <f t="shared" si="75"/>
        <v>31.5</v>
      </c>
      <c r="J126" s="52">
        <f t="shared" si="75"/>
        <v>31.5</v>
      </c>
      <c r="K126" s="52">
        <f t="shared" si="75"/>
        <v>37.799999999999997</v>
      </c>
      <c r="L126" s="52">
        <f t="shared" si="75"/>
        <v>37.799999999999997</v>
      </c>
      <c r="M126" s="52">
        <f t="shared" si="75"/>
        <v>37.799999999999997</v>
      </c>
      <c r="N126" s="52">
        <f t="shared" si="75"/>
        <v>37.799999999999997</v>
      </c>
      <c r="P126" s="43" t="s">
        <v>75</v>
      </c>
      <c r="Q126" s="52">
        <f t="shared" si="45"/>
        <v>403.20000000000005</v>
      </c>
    </row>
    <row r="127" spans="1:17" x14ac:dyDescent="0.25">
      <c r="A127" t="s">
        <v>0</v>
      </c>
      <c r="C127" s="52">
        <f>SUM(C125:C126)*-1</f>
        <v>-181.5</v>
      </c>
      <c r="D127" s="52">
        <f t="shared" ref="D127:N127" si="76">SUM(D125:D126)*-1</f>
        <v>-181.5</v>
      </c>
      <c r="E127" s="52">
        <f t="shared" si="76"/>
        <v>-181.5</v>
      </c>
      <c r="F127" s="52">
        <f t="shared" si="76"/>
        <v>-181.5</v>
      </c>
      <c r="G127" s="52">
        <f t="shared" si="76"/>
        <v>-181.5</v>
      </c>
      <c r="H127" s="52">
        <f t="shared" si="76"/>
        <v>-181.5</v>
      </c>
      <c r="I127" s="52">
        <f t="shared" si="76"/>
        <v>-181.5</v>
      </c>
      <c r="J127" s="52">
        <f t="shared" si="76"/>
        <v>-181.5</v>
      </c>
      <c r="K127" s="52">
        <f t="shared" si="76"/>
        <v>-217.8</v>
      </c>
      <c r="L127" s="52">
        <f t="shared" si="76"/>
        <v>-217.8</v>
      </c>
      <c r="M127" s="52">
        <f t="shared" si="76"/>
        <v>-217.8</v>
      </c>
      <c r="N127" s="52">
        <f t="shared" si="76"/>
        <v>-217.8</v>
      </c>
      <c r="P127" s="43" t="s">
        <v>0</v>
      </c>
      <c r="Q127" s="52">
        <f t="shared" si="45"/>
        <v>-2323.2000000000003</v>
      </c>
    </row>
    <row r="128" spans="1:17" x14ac:dyDescent="0.25"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Q128" s="3"/>
    </row>
    <row r="129" spans="1:17" x14ac:dyDescent="0.25">
      <c r="A129" t="s">
        <v>53</v>
      </c>
      <c r="C129" s="233">
        <f>+C40</f>
        <v>4500</v>
      </c>
      <c r="D129" s="233">
        <f t="shared" ref="D129:N129" si="77">+D40</f>
        <v>4500</v>
      </c>
      <c r="E129" s="233">
        <f t="shared" si="77"/>
        <v>3000</v>
      </c>
      <c r="F129" s="233">
        <f t="shared" si="77"/>
        <v>2500</v>
      </c>
      <c r="G129" s="233">
        <f t="shared" si="77"/>
        <v>2000</v>
      </c>
      <c r="H129" s="233">
        <f t="shared" si="77"/>
        <v>1500</v>
      </c>
      <c r="I129" s="233">
        <f t="shared" si="77"/>
        <v>1500</v>
      </c>
      <c r="J129" s="233">
        <f t="shared" si="77"/>
        <v>1500</v>
      </c>
      <c r="K129" s="233">
        <f t="shared" si="77"/>
        <v>3000</v>
      </c>
      <c r="L129" s="233">
        <f t="shared" si="77"/>
        <v>3000</v>
      </c>
      <c r="M129" s="233">
        <f t="shared" si="77"/>
        <v>3000</v>
      </c>
      <c r="N129" s="233">
        <f t="shared" si="77"/>
        <v>3000</v>
      </c>
      <c r="P129" s="43" t="s">
        <v>126</v>
      </c>
      <c r="Q129" s="52">
        <f t="shared" si="45"/>
        <v>33000</v>
      </c>
    </row>
    <row r="130" spans="1:17" x14ac:dyDescent="0.25">
      <c r="A130" t="s">
        <v>75</v>
      </c>
      <c r="C130" s="52">
        <f>+C41</f>
        <v>945</v>
      </c>
      <c r="D130" s="52">
        <f t="shared" ref="D130:N130" si="78">+D41</f>
        <v>945</v>
      </c>
      <c r="E130" s="52">
        <f t="shared" si="78"/>
        <v>630</v>
      </c>
      <c r="F130" s="52">
        <f t="shared" si="78"/>
        <v>525</v>
      </c>
      <c r="G130" s="52">
        <f t="shared" si="78"/>
        <v>420</v>
      </c>
      <c r="H130" s="52">
        <f t="shared" si="78"/>
        <v>315</v>
      </c>
      <c r="I130" s="52">
        <f t="shared" si="78"/>
        <v>315</v>
      </c>
      <c r="J130" s="52">
        <f t="shared" si="78"/>
        <v>315</v>
      </c>
      <c r="K130" s="52">
        <f t="shared" si="78"/>
        <v>630</v>
      </c>
      <c r="L130" s="52">
        <f t="shared" si="78"/>
        <v>630</v>
      </c>
      <c r="M130" s="52">
        <f t="shared" si="78"/>
        <v>630</v>
      </c>
      <c r="N130" s="52">
        <f t="shared" si="78"/>
        <v>630</v>
      </c>
      <c r="P130" s="43" t="s">
        <v>75</v>
      </c>
      <c r="Q130" s="52">
        <f t="shared" si="45"/>
        <v>6930</v>
      </c>
    </row>
    <row r="131" spans="1:17" x14ac:dyDescent="0.25">
      <c r="A131" t="s">
        <v>0</v>
      </c>
      <c r="C131" s="52">
        <f>SUM(C129:C130)*-1</f>
        <v>-5445</v>
      </c>
      <c r="D131" s="52">
        <f t="shared" ref="D131:N131" si="79">SUM(D129:D130)*-1</f>
        <v>-5445</v>
      </c>
      <c r="E131" s="52">
        <f t="shared" si="79"/>
        <v>-3630</v>
      </c>
      <c r="F131" s="52">
        <f t="shared" si="79"/>
        <v>-3025</v>
      </c>
      <c r="G131" s="52">
        <f t="shared" si="79"/>
        <v>-2420</v>
      </c>
      <c r="H131" s="52">
        <f t="shared" si="79"/>
        <v>-1815</v>
      </c>
      <c r="I131" s="52">
        <f t="shared" si="79"/>
        <v>-1815</v>
      </c>
      <c r="J131" s="52">
        <f t="shared" si="79"/>
        <v>-1815</v>
      </c>
      <c r="K131" s="52">
        <f t="shared" si="79"/>
        <v>-3630</v>
      </c>
      <c r="L131" s="52">
        <f t="shared" si="79"/>
        <v>-3630</v>
      </c>
      <c r="M131" s="52">
        <f t="shared" si="79"/>
        <v>-3630</v>
      </c>
      <c r="N131" s="52">
        <f t="shared" si="79"/>
        <v>-3630</v>
      </c>
      <c r="P131" s="43" t="s">
        <v>0</v>
      </c>
      <c r="Q131" s="52">
        <f t="shared" si="45"/>
        <v>-39930</v>
      </c>
    </row>
    <row r="132" spans="1:17" x14ac:dyDescent="0.25"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Q132" s="3"/>
    </row>
    <row r="133" spans="1:17" x14ac:dyDescent="0.25">
      <c r="A133" t="s">
        <v>54</v>
      </c>
      <c r="C133" s="233">
        <f>+C42</f>
        <v>1255</v>
      </c>
      <c r="D133" s="233">
        <f t="shared" ref="D133:N133" si="80">+D42</f>
        <v>890</v>
      </c>
      <c r="E133" s="233">
        <f t="shared" si="80"/>
        <v>963</v>
      </c>
      <c r="F133" s="233">
        <f t="shared" si="80"/>
        <v>980</v>
      </c>
      <c r="G133" s="233">
        <f t="shared" si="80"/>
        <v>1015</v>
      </c>
      <c r="H133" s="233">
        <f t="shared" si="80"/>
        <v>1135</v>
      </c>
      <c r="I133" s="233">
        <f t="shared" si="80"/>
        <v>975</v>
      </c>
      <c r="J133" s="233">
        <f t="shared" si="80"/>
        <v>845</v>
      </c>
      <c r="K133" s="233">
        <f t="shared" si="80"/>
        <v>1356</v>
      </c>
      <c r="L133" s="233">
        <f t="shared" si="80"/>
        <v>1243</v>
      </c>
      <c r="M133" s="233">
        <f t="shared" si="80"/>
        <v>1436</v>
      </c>
      <c r="N133" s="233">
        <f t="shared" si="80"/>
        <v>1563</v>
      </c>
      <c r="P133" s="43" t="s">
        <v>127</v>
      </c>
      <c r="Q133" s="52">
        <f t="shared" si="45"/>
        <v>13656</v>
      </c>
    </row>
    <row r="134" spans="1:17" x14ac:dyDescent="0.25">
      <c r="A134" t="s">
        <v>75</v>
      </c>
      <c r="C134" s="52">
        <f>+C43</f>
        <v>263.55</v>
      </c>
      <c r="D134" s="52">
        <f t="shared" ref="D134:N134" si="81">+D43</f>
        <v>186.9</v>
      </c>
      <c r="E134" s="52">
        <f t="shared" si="81"/>
        <v>202.23</v>
      </c>
      <c r="F134" s="52">
        <f t="shared" si="81"/>
        <v>205.79999999999998</v>
      </c>
      <c r="G134" s="52">
        <f t="shared" si="81"/>
        <v>213.15</v>
      </c>
      <c r="H134" s="52">
        <f t="shared" si="81"/>
        <v>238.35</v>
      </c>
      <c r="I134" s="52">
        <f t="shared" si="81"/>
        <v>204.75</v>
      </c>
      <c r="J134" s="52">
        <f t="shared" si="81"/>
        <v>177.45</v>
      </c>
      <c r="K134" s="52">
        <f t="shared" si="81"/>
        <v>284.76</v>
      </c>
      <c r="L134" s="52">
        <f t="shared" si="81"/>
        <v>261.02999999999997</v>
      </c>
      <c r="M134" s="52">
        <f t="shared" si="81"/>
        <v>301.56</v>
      </c>
      <c r="N134" s="52">
        <f t="shared" si="81"/>
        <v>328.22999999999996</v>
      </c>
      <c r="P134" s="43" t="s">
        <v>75</v>
      </c>
      <c r="Q134" s="52">
        <f t="shared" si="45"/>
        <v>2867.76</v>
      </c>
    </row>
    <row r="135" spans="1:17" x14ac:dyDescent="0.25">
      <c r="A135" t="s">
        <v>0</v>
      </c>
      <c r="C135" s="52">
        <f>SUM(C133:C134)*-1</f>
        <v>-1518.55</v>
      </c>
      <c r="D135" s="52">
        <f t="shared" ref="D135:N135" si="82">SUM(D133:D134)*-1</f>
        <v>-1076.9000000000001</v>
      </c>
      <c r="E135" s="52">
        <f t="shared" si="82"/>
        <v>-1165.23</v>
      </c>
      <c r="F135" s="52">
        <f t="shared" si="82"/>
        <v>-1185.8</v>
      </c>
      <c r="G135" s="52">
        <f t="shared" si="82"/>
        <v>-1228.1500000000001</v>
      </c>
      <c r="H135" s="52">
        <f t="shared" si="82"/>
        <v>-1373.35</v>
      </c>
      <c r="I135" s="52">
        <f t="shared" si="82"/>
        <v>-1179.75</v>
      </c>
      <c r="J135" s="52">
        <f t="shared" si="82"/>
        <v>-1022.45</v>
      </c>
      <c r="K135" s="52">
        <f t="shared" si="82"/>
        <v>-1640.76</v>
      </c>
      <c r="L135" s="52">
        <f t="shared" si="82"/>
        <v>-1504.03</v>
      </c>
      <c r="M135" s="52">
        <f t="shared" si="82"/>
        <v>-1737.56</v>
      </c>
      <c r="N135" s="52">
        <f t="shared" si="82"/>
        <v>-1891.23</v>
      </c>
      <c r="P135" s="43" t="s">
        <v>0</v>
      </c>
      <c r="Q135" s="52">
        <f t="shared" si="45"/>
        <v>-16523.760000000002</v>
      </c>
    </row>
    <row r="137" spans="1:17" x14ac:dyDescent="0.25">
      <c r="B137" s="233">
        <f>SUM(B48:B136)</f>
        <v>0</v>
      </c>
      <c r="C137" s="233">
        <f t="shared" ref="C137:N137" si="83">SUM(C58:C136)</f>
        <v>0</v>
      </c>
      <c r="D137" s="233">
        <f t="shared" si="83"/>
        <v>-1.4551915228366852E-11</v>
      </c>
      <c r="E137" s="233">
        <f t="shared" si="83"/>
        <v>0</v>
      </c>
      <c r="F137" s="233">
        <f t="shared" si="83"/>
        <v>0</v>
      </c>
      <c r="G137" s="233">
        <f t="shared" si="83"/>
        <v>0</v>
      </c>
      <c r="H137" s="233">
        <f t="shared" si="83"/>
        <v>0</v>
      </c>
      <c r="I137" s="233">
        <f t="shared" si="83"/>
        <v>0</v>
      </c>
      <c r="J137" s="233">
        <f t="shared" si="83"/>
        <v>0</v>
      </c>
      <c r="K137" s="233">
        <f t="shared" si="83"/>
        <v>0</v>
      </c>
      <c r="L137" s="233">
        <f t="shared" si="83"/>
        <v>0</v>
      </c>
      <c r="M137" s="233">
        <f t="shared" si="83"/>
        <v>-2.9103830456733704E-11</v>
      </c>
      <c r="N137" s="233">
        <f t="shared" si="83"/>
        <v>-2.9103830456733704E-11</v>
      </c>
      <c r="Q137" s="52">
        <f>SUM(Q48:Q136)</f>
        <v>-4.5838532969355583E-10</v>
      </c>
    </row>
    <row r="139" spans="1:17" x14ac:dyDescent="0.25">
      <c r="A139" s="234" t="s">
        <v>261</v>
      </c>
      <c r="B139" s="233">
        <f>+B48</f>
        <v>246376</v>
      </c>
      <c r="C139" s="233">
        <f t="shared" ref="C139:N139" si="84">+C61+C65+C72+C78+C83+C88+C92+C105+C109+C114+C119+C123+C127+C131+C135</f>
        <v>-6619.29</v>
      </c>
      <c r="D139" s="233">
        <f t="shared" si="84"/>
        <v>5159.8799999999846</v>
      </c>
      <c r="E139" s="233">
        <f t="shared" si="84"/>
        <v>-3648.5800000000049</v>
      </c>
      <c r="F139" s="233">
        <f t="shared" si="84"/>
        <v>21355.079999999991</v>
      </c>
      <c r="G139" s="233">
        <f t="shared" si="84"/>
        <v>50719.06</v>
      </c>
      <c r="H139" s="233">
        <f t="shared" si="84"/>
        <v>8557.9500000000025</v>
      </c>
      <c r="I139" s="233">
        <f t="shared" si="84"/>
        <v>56782.169999999984</v>
      </c>
      <c r="J139" s="233">
        <f t="shared" si="84"/>
        <v>49707.140000000007</v>
      </c>
      <c r="K139" s="233">
        <f t="shared" si="84"/>
        <v>40620.880000000005</v>
      </c>
      <c r="L139" s="233">
        <f t="shared" si="84"/>
        <v>46060.950000000012</v>
      </c>
      <c r="M139" s="233">
        <f t="shared" si="84"/>
        <v>-228056.23</v>
      </c>
      <c r="N139" s="233">
        <f t="shared" si="84"/>
        <v>272142.30999999994</v>
      </c>
      <c r="O139" s="52">
        <f>SUM(B139:N139)</f>
        <v>559157.31999999995</v>
      </c>
    </row>
    <row r="140" spans="1:17" x14ac:dyDescent="0.25">
      <c r="A140" s="234" t="s">
        <v>262</v>
      </c>
      <c r="B140" s="234"/>
      <c r="C140" s="233">
        <f t="shared" ref="C140:N140" si="85">+C59+C67+C71+C87+C91+C104+C108+C118+C122+C126+C130+C134</f>
        <v>-4253.1299999999983</v>
      </c>
      <c r="D140" s="233">
        <f t="shared" si="85"/>
        <v>-6182.82</v>
      </c>
      <c r="E140" s="233">
        <f t="shared" si="85"/>
        <v>-4656.33</v>
      </c>
      <c r="F140" s="233">
        <f t="shared" si="85"/>
        <v>-9211.0199999999986</v>
      </c>
      <c r="G140" s="233">
        <f t="shared" si="85"/>
        <v>-14235.060000000001</v>
      </c>
      <c r="H140" s="233">
        <f t="shared" si="85"/>
        <v>-9102.8700000000026</v>
      </c>
      <c r="I140" s="233">
        <f t="shared" si="85"/>
        <v>-15550.289999999997</v>
      </c>
      <c r="J140" s="233">
        <f t="shared" si="85"/>
        <v>-15017.939999999997</v>
      </c>
      <c r="K140" s="233">
        <f t="shared" si="85"/>
        <v>-13478.219999999998</v>
      </c>
      <c r="L140" s="233">
        <f t="shared" si="85"/>
        <v>-14463.329999999996</v>
      </c>
      <c r="M140" s="233">
        <f t="shared" si="85"/>
        <v>-13327.859999999999</v>
      </c>
      <c r="N140" s="233">
        <f t="shared" si="85"/>
        <v>-16812.810000000001</v>
      </c>
      <c r="O140" s="52">
        <f>SUM(C140:N140)</f>
        <v>-136291.68000000002</v>
      </c>
    </row>
    <row r="141" spans="1:17" x14ac:dyDescent="0.25">
      <c r="A141" s="233"/>
      <c r="B141" s="233"/>
      <c r="C141" s="233">
        <f t="shared" ref="C141" si="86">+C140*-1</f>
        <v>4253.1299999999983</v>
      </c>
      <c r="D141" s="233">
        <f t="shared" ref="D141" si="87">+D140*-1</f>
        <v>6182.82</v>
      </c>
      <c r="E141" s="233">
        <f t="shared" ref="E141" si="88">+E140*-1</f>
        <v>4656.33</v>
      </c>
      <c r="F141" s="233">
        <f t="shared" ref="F141" si="89">+F140*-1</f>
        <v>9211.0199999999986</v>
      </c>
      <c r="G141" s="233">
        <f t="shared" ref="G141" si="90">+G140*-1</f>
        <v>14235.060000000001</v>
      </c>
      <c r="H141" s="233">
        <f t="shared" ref="H141" si="91">+H140*-1</f>
        <v>9102.8700000000026</v>
      </c>
      <c r="I141" s="233">
        <f t="shared" ref="I141" si="92">+I140*-1</f>
        <v>15550.289999999997</v>
      </c>
      <c r="J141" s="233">
        <f t="shared" ref="J141" si="93">+J140*-1</f>
        <v>15017.939999999997</v>
      </c>
      <c r="K141" s="233">
        <f t="shared" ref="K141" si="94">+K140*-1</f>
        <v>13478.219999999998</v>
      </c>
      <c r="L141" s="233">
        <f t="shared" ref="L141" si="95">+L140*-1</f>
        <v>14463.329999999996</v>
      </c>
      <c r="M141" s="233">
        <f t="shared" ref="M141" si="96">+M140*-1</f>
        <v>13327.859999999999</v>
      </c>
      <c r="N141" s="233">
        <f t="shared" ref="N141" si="97">+N140*-1</f>
        <v>16812.810000000001</v>
      </c>
      <c r="O141" s="233">
        <f>SUM(C141:N141)</f>
        <v>136291.68000000002</v>
      </c>
    </row>
  </sheetData>
  <sheetProtection sheet="1" objects="1" scenarios="1"/>
  <pageMargins left="0.31496062992125984" right="0.11811023622047245" top="0.35433070866141736" bottom="0.15748031496062992" header="0.31496062992125984" footer="0.31496062992125984"/>
  <pageSetup paperSize="9" scale="3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workbookViewId="0"/>
  </sheetViews>
  <sheetFormatPr baseColWidth="10" defaultRowHeight="15" x14ac:dyDescent="0.25"/>
  <cols>
    <col min="1" max="1" width="30.85546875" bestFit="1" customWidth="1"/>
    <col min="3" max="4" width="11.42578125" style="4"/>
    <col min="5" max="5" width="11.42578125" style="3"/>
    <col min="6" max="6" width="12.42578125" bestFit="1" customWidth="1"/>
  </cols>
  <sheetData>
    <row r="1" spans="1:15" x14ac:dyDescent="0.25">
      <c r="A1" s="37" t="s">
        <v>36</v>
      </c>
      <c r="B1" s="36">
        <v>42705</v>
      </c>
      <c r="C1" s="68">
        <v>42736</v>
      </c>
      <c r="D1" s="68">
        <v>42767</v>
      </c>
      <c r="E1" s="68">
        <v>42795</v>
      </c>
      <c r="F1" s="36">
        <v>42826</v>
      </c>
      <c r="G1" s="36">
        <v>42856</v>
      </c>
      <c r="H1" s="36">
        <v>42887</v>
      </c>
      <c r="I1" s="36">
        <v>42917</v>
      </c>
      <c r="J1" s="36">
        <v>42948</v>
      </c>
      <c r="K1" s="36">
        <v>42979</v>
      </c>
      <c r="L1" s="36">
        <v>43009</v>
      </c>
      <c r="M1" s="36">
        <v>43040</v>
      </c>
      <c r="N1" s="36">
        <v>43070</v>
      </c>
      <c r="O1" s="251" t="s">
        <v>389</v>
      </c>
    </row>
    <row r="2" spans="1:15" x14ac:dyDescent="0.25">
      <c r="A2" s="64"/>
      <c r="B2" s="65"/>
      <c r="C2" s="69"/>
      <c r="D2" s="69"/>
      <c r="E2" s="50"/>
      <c r="F2" s="65"/>
      <c r="G2" s="65"/>
      <c r="H2" s="65"/>
      <c r="I2" s="65"/>
      <c r="J2" s="65"/>
      <c r="K2" s="65"/>
      <c r="L2" s="65"/>
      <c r="M2" s="65"/>
      <c r="N2" s="65"/>
    </row>
    <row r="3" spans="1:15" x14ac:dyDescent="0.25">
      <c r="A3" t="s">
        <v>32</v>
      </c>
      <c r="B3" s="58">
        <f>+'2-REGISTRACIONES'!B2</f>
        <v>400</v>
      </c>
      <c r="C3" s="58">
        <f>+'2-REGISTRACIONES'!C2</f>
        <v>150</v>
      </c>
      <c r="D3" s="58">
        <f>+'2-REGISTRACIONES'!D2</f>
        <v>130</v>
      </c>
      <c r="E3" s="58">
        <f>+'2-REGISTRACIONES'!E2</f>
        <v>120</v>
      </c>
      <c r="F3" s="58">
        <f>+'2-REGISTRACIONES'!F2</f>
        <v>140</v>
      </c>
      <c r="G3" s="58">
        <f>+'2-REGISTRACIONES'!G2</f>
        <v>80</v>
      </c>
      <c r="H3" s="58">
        <f>+'2-REGISTRACIONES'!H2</f>
        <v>160</v>
      </c>
      <c r="I3" s="58">
        <f>+'2-REGISTRACIONES'!I2</f>
        <v>150</v>
      </c>
      <c r="J3" s="58">
        <f>+'2-REGISTRACIONES'!J2</f>
        <v>150</v>
      </c>
      <c r="K3" s="58">
        <f>+'2-REGISTRACIONES'!K2</f>
        <v>160</v>
      </c>
      <c r="L3" s="58">
        <f>+'2-REGISTRACIONES'!L2</f>
        <v>160</v>
      </c>
      <c r="M3" s="58">
        <f>+'2-REGISTRACIONES'!M2</f>
        <v>180</v>
      </c>
      <c r="N3" s="58">
        <f>+'2-REGISTRACIONES'!N2</f>
        <v>195</v>
      </c>
      <c r="O3" s="58">
        <f>SUM(B3:N3)</f>
        <v>2175</v>
      </c>
    </row>
    <row r="4" spans="1:15" s="43" customFormat="1" x14ac:dyDescent="0.25">
      <c r="A4" t="s">
        <v>56</v>
      </c>
      <c r="B4" s="52">
        <f>+'2-REGISTRACIONES'!B3</f>
        <v>562</v>
      </c>
      <c r="C4" s="52">
        <f>+'2-REGISTRACIONES'!C3</f>
        <v>570</v>
      </c>
      <c r="D4" s="52">
        <f>+'2-REGISTRACIONES'!D3</f>
        <v>570</v>
      </c>
      <c r="E4" s="52">
        <f>+'2-REGISTRACIONES'!E3</f>
        <v>595</v>
      </c>
      <c r="F4" s="52">
        <f>+'2-REGISTRACIONES'!F3</f>
        <v>595</v>
      </c>
      <c r="G4" s="52">
        <f>+'2-REGISTRACIONES'!G3</f>
        <v>600</v>
      </c>
      <c r="H4" s="52">
        <f>+'2-REGISTRACIONES'!H3</f>
        <v>630</v>
      </c>
      <c r="I4" s="52">
        <f>+'2-REGISTRACIONES'!I3</f>
        <v>645</v>
      </c>
      <c r="J4" s="52">
        <f>+'2-REGISTRACIONES'!J3</f>
        <v>670</v>
      </c>
      <c r="K4" s="52">
        <f>+'2-REGISTRACIONES'!K3</f>
        <v>690</v>
      </c>
      <c r="L4" s="52">
        <f>+'2-REGISTRACIONES'!L3</f>
        <v>690</v>
      </c>
      <c r="M4" s="52">
        <f>+'2-REGISTRACIONES'!M3</f>
        <v>705</v>
      </c>
      <c r="N4" s="52">
        <f>+'2-REGISTRACIONES'!N3</f>
        <v>730</v>
      </c>
    </row>
    <row r="5" spans="1:15" x14ac:dyDescent="0.25">
      <c r="A5" t="s">
        <v>31</v>
      </c>
      <c r="B5" s="58"/>
      <c r="C5" s="248">
        <f>+'2-REGISTRACIONES'!C6</f>
        <v>139</v>
      </c>
      <c r="D5" s="248">
        <f>+'2-REGISTRACIONES'!D6</f>
        <v>123</v>
      </c>
      <c r="E5" s="248">
        <f>+'2-REGISTRACIONES'!E6</f>
        <v>107</v>
      </c>
      <c r="F5" s="248">
        <f>+'2-REGISTRACIONES'!F6</f>
        <v>138</v>
      </c>
      <c r="G5" s="248">
        <f>+'2-REGISTRACIONES'!G6</f>
        <v>125</v>
      </c>
      <c r="H5" s="248">
        <f>+'2-REGISTRACIONES'!H6</f>
        <v>146</v>
      </c>
      <c r="I5" s="248">
        <f>+'2-REGISTRACIONES'!I6</f>
        <v>164</v>
      </c>
      <c r="J5" s="248">
        <f>+'2-REGISTRACIONES'!J6</f>
        <v>160</v>
      </c>
      <c r="K5" s="248">
        <f>+'2-REGISTRACIONES'!K6</f>
        <v>159</v>
      </c>
      <c r="L5" s="248">
        <f>+'2-REGISTRACIONES'!L6</f>
        <v>163</v>
      </c>
      <c r="M5" s="248">
        <f>+'2-REGISTRACIONES'!M6</f>
        <v>169</v>
      </c>
      <c r="N5" s="248">
        <f>+'2-REGISTRACIONES'!N6</f>
        <v>188</v>
      </c>
      <c r="O5" s="58">
        <f>SUM(C5:N5)</f>
        <v>1781</v>
      </c>
    </row>
    <row r="6" spans="1:15" x14ac:dyDescent="0.25">
      <c r="C6" s="4" t="s">
        <v>181</v>
      </c>
      <c r="D6" s="4" t="s">
        <v>182</v>
      </c>
      <c r="E6" s="3" t="s">
        <v>183</v>
      </c>
      <c r="F6" t="s">
        <v>184</v>
      </c>
      <c r="G6" t="s">
        <v>185</v>
      </c>
    </row>
    <row r="7" spans="1:15" x14ac:dyDescent="0.25">
      <c r="A7" s="66">
        <v>42705</v>
      </c>
      <c r="B7" t="s">
        <v>179</v>
      </c>
      <c r="C7" s="249">
        <f>+B3</f>
        <v>400</v>
      </c>
      <c r="D7" s="250">
        <f>+B4</f>
        <v>562</v>
      </c>
      <c r="E7" s="52">
        <f>+C7*D7</f>
        <v>224800</v>
      </c>
      <c r="F7" s="43"/>
    </row>
    <row r="8" spans="1:15" x14ac:dyDescent="0.25">
      <c r="A8" s="66">
        <v>42736</v>
      </c>
      <c r="B8" t="s">
        <v>180</v>
      </c>
      <c r="C8" s="249">
        <f>+C3</f>
        <v>150</v>
      </c>
      <c r="D8" s="250">
        <f>+C4</f>
        <v>570</v>
      </c>
      <c r="E8" s="52">
        <f t="shared" ref="E8:E19" si="0">+C8*D8</f>
        <v>85500</v>
      </c>
      <c r="F8" s="43"/>
    </row>
    <row r="9" spans="1:15" x14ac:dyDescent="0.25">
      <c r="A9" s="66">
        <v>42767</v>
      </c>
      <c r="B9" t="s">
        <v>180</v>
      </c>
      <c r="C9" s="249">
        <f>+D3</f>
        <v>130</v>
      </c>
      <c r="D9" s="250">
        <f>+D4</f>
        <v>570</v>
      </c>
      <c r="E9" s="52">
        <f t="shared" si="0"/>
        <v>74100</v>
      </c>
      <c r="F9" s="43"/>
    </row>
    <row r="10" spans="1:15" x14ac:dyDescent="0.25">
      <c r="A10" s="66">
        <v>42795</v>
      </c>
      <c r="B10" t="s">
        <v>180</v>
      </c>
      <c r="C10" s="249">
        <f>+E3</f>
        <v>120</v>
      </c>
      <c r="D10" s="250">
        <f>+E4</f>
        <v>595</v>
      </c>
      <c r="E10" s="52">
        <f t="shared" si="0"/>
        <v>71400</v>
      </c>
      <c r="F10" s="43"/>
    </row>
    <row r="11" spans="1:15" x14ac:dyDescent="0.25">
      <c r="A11" s="66">
        <v>42826</v>
      </c>
      <c r="B11" t="s">
        <v>180</v>
      </c>
      <c r="C11" s="249">
        <f>+F3</f>
        <v>140</v>
      </c>
      <c r="D11" s="250">
        <f>+F4</f>
        <v>595</v>
      </c>
      <c r="E11" s="52">
        <f t="shared" si="0"/>
        <v>83300</v>
      </c>
      <c r="F11" s="43"/>
    </row>
    <row r="12" spans="1:15" x14ac:dyDescent="0.25">
      <c r="A12" s="66">
        <v>42856</v>
      </c>
      <c r="B12" t="s">
        <v>180</v>
      </c>
      <c r="C12" s="249">
        <f>+G3</f>
        <v>80</v>
      </c>
      <c r="D12" s="250">
        <f>+G4</f>
        <v>600</v>
      </c>
      <c r="E12" s="52">
        <f t="shared" si="0"/>
        <v>48000</v>
      </c>
      <c r="F12" s="43"/>
    </row>
    <row r="13" spans="1:15" x14ac:dyDescent="0.25">
      <c r="A13" s="66">
        <v>42887</v>
      </c>
      <c r="B13" t="s">
        <v>180</v>
      </c>
      <c r="C13" s="249">
        <f>+H3</f>
        <v>160</v>
      </c>
      <c r="D13" s="250">
        <f>+H4</f>
        <v>630</v>
      </c>
      <c r="E13" s="52">
        <f t="shared" si="0"/>
        <v>100800</v>
      </c>
      <c r="F13" s="43"/>
    </row>
    <row r="14" spans="1:15" x14ac:dyDescent="0.25">
      <c r="A14" s="66">
        <v>42917</v>
      </c>
      <c r="B14" t="s">
        <v>180</v>
      </c>
      <c r="C14" s="249">
        <f>+I3</f>
        <v>150</v>
      </c>
      <c r="D14" s="250">
        <f>+I4</f>
        <v>645</v>
      </c>
      <c r="E14" s="52">
        <f t="shared" si="0"/>
        <v>96750</v>
      </c>
      <c r="F14" s="43"/>
    </row>
    <row r="15" spans="1:15" x14ac:dyDescent="0.25">
      <c r="A15" s="66">
        <v>42948</v>
      </c>
      <c r="B15" t="s">
        <v>180</v>
      </c>
      <c r="C15" s="249">
        <f>+J3</f>
        <v>150</v>
      </c>
      <c r="D15" s="250">
        <f>+J4</f>
        <v>670</v>
      </c>
      <c r="E15" s="52">
        <f t="shared" si="0"/>
        <v>100500</v>
      </c>
      <c r="F15" s="43"/>
    </row>
    <row r="16" spans="1:15" x14ac:dyDescent="0.25">
      <c r="A16" s="66">
        <v>42979</v>
      </c>
      <c r="B16" t="s">
        <v>180</v>
      </c>
      <c r="C16" s="249">
        <f>+K3</f>
        <v>160</v>
      </c>
      <c r="D16" s="250">
        <f>+K4</f>
        <v>690</v>
      </c>
      <c r="E16" s="52">
        <f t="shared" si="0"/>
        <v>110400</v>
      </c>
      <c r="F16" s="43"/>
    </row>
    <row r="17" spans="1:7" x14ac:dyDescent="0.25">
      <c r="A17" s="66">
        <v>43009</v>
      </c>
      <c r="B17" t="s">
        <v>180</v>
      </c>
      <c r="C17" s="249">
        <f>+L3</f>
        <v>160</v>
      </c>
      <c r="D17" s="250">
        <f>+L4</f>
        <v>690</v>
      </c>
      <c r="E17" s="52">
        <f t="shared" si="0"/>
        <v>110400</v>
      </c>
      <c r="F17" s="43"/>
    </row>
    <row r="18" spans="1:7" x14ac:dyDescent="0.25">
      <c r="A18" s="66">
        <v>43040</v>
      </c>
      <c r="B18" t="s">
        <v>180</v>
      </c>
      <c r="C18" s="249">
        <f>+M3</f>
        <v>180</v>
      </c>
      <c r="D18" s="250">
        <f>+M4</f>
        <v>705</v>
      </c>
      <c r="E18" s="52">
        <f t="shared" si="0"/>
        <v>126900</v>
      </c>
      <c r="F18" s="43"/>
    </row>
    <row r="19" spans="1:7" x14ac:dyDescent="0.25">
      <c r="A19" s="66">
        <v>43070</v>
      </c>
      <c r="B19" t="s">
        <v>180</v>
      </c>
      <c r="C19" s="249">
        <f>+N3</f>
        <v>195</v>
      </c>
      <c r="D19" s="250">
        <f>+N4</f>
        <v>730</v>
      </c>
      <c r="E19" s="52">
        <f t="shared" si="0"/>
        <v>142350</v>
      </c>
      <c r="F19" s="52">
        <f>SUM(E7:E19)</f>
        <v>1375200</v>
      </c>
    </row>
    <row r="20" spans="1:7" x14ac:dyDescent="0.25">
      <c r="A20" s="45"/>
      <c r="B20" t="s">
        <v>186</v>
      </c>
      <c r="F20" s="3"/>
    </row>
    <row r="21" spans="1:7" x14ac:dyDescent="0.25">
      <c r="A21" s="66">
        <v>42705</v>
      </c>
      <c r="B21" t="s">
        <v>187</v>
      </c>
      <c r="C21" s="249">
        <f t="shared" ref="C21:C30" si="1">-C7</f>
        <v>-400</v>
      </c>
      <c r="D21" s="250">
        <f t="shared" ref="D21:D31" si="2">+D7</f>
        <v>562</v>
      </c>
      <c r="E21" s="52">
        <f>+C21*D21</f>
        <v>-224800</v>
      </c>
      <c r="F21" s="43"/>
    </row>
    <row r="22" spans="1:7" x14ac:dyDescent="0.25">
      <c r="A22" s="66">
        <v>42736</v>
      </c>
      <c r="B22" t="s">
        <v>187</v>
      </c>
      <c r="C22" s="249">
        <f t="shared" si="1"/>
        <v>-150</v>
      </c>
      <c r="D22" s="250">
        <f t="shared" si="2"/>
        <v>570</v>
      </c>
      <c r="E22" s="52">
        <f t="shared" ref="E22:E31" si="3">+C22*D22</f>
        <v>-85500</v>
      </c>
      <c r="F22" s="43"/>
    </row>
    <row r="23" spans="1:7" x14ac:dyDescent="0.25">
      <c r="A23" s="66">
        <v>42767</v>
      </c>
      <c r="B23" t="s">
        <v>187</v>
      </c>
      <c r="C23" s="249">
        <f t="shared" si="1"/>
        <v>-130</v>
      </c>
      <c r="D23" s="250">
        <f t="shared" si="2"/>
        <v>570</v>
      </c>
      <c r="E23" s="52">
        <f t="shared" si="3"/>
        <v>-74100</v>
      </c>
      <c r="F23" s="43"/>
    </row>
    <row r="24" spans="1:7" x14ac:dyDescent="0.25">
      <c r="A24" s="66">
        <v>42795</v>
      </c>
      <c r="B24" t="s">
        <v>187</v>
      </c>
      <c r="C24" s="249">
        <f t="shared" si="1"/>
        <v>-120</v>
      </c>
      <c r="D24" s="250">
        <f t="shared" si="2"/>
        <v>595</v>
      </c>
      <c r="E24" s="52">
        <f t="shared" si="3"/>
        <v>-71400</v>
      </c>
      <c r="F24" s="43"/>
    </row>
    <row r="25" spans="1:7" x14ac:dyDescent="0.25">
      <c r="A25" s="66">
        <v>42826</v>
      </c>
      <c r="B25" t="s">
        <v>187</v>
      </c>
      <c r="C25" s="249">
        <f t="shared" si="1"/>
        <v>-140</v>
      </c>
      <c r="D25" s="250">
        <f t="shared" si="2"/>
        <v>595</v>
      </c>
      <c r="E25" s="52">
        <f t="shared" si="3"/>
        <v>-83300</v>
      </c>
      <c r="F25" s="43"/>
    </row>
    <row r="26" spans="1:7" x14ac:dyDescent="0.25">
      <c r="A26" s="66">
        <v>42856</v>
      </c>
      <c r="B26" t="s">
        <v>187</v>
      </c>
      <c r="C26" s="249">
        <f t="shared" si="1"/>
        <v>-80</v>
      </c>
      <c r="D26" s="250">
        <f t="shared" si="2"/>
        <v>600</v>
      </c>
      <c r="E26" s="52">
        <f t="shared" si="3"/>
        <v>-48000</v>
      </c>
      <c r="F26" s="43"/>
    </row>
    <row r="27" spans="1:7" x14ac:dyDescent="0.25">
      <c r="A27" s="66">
        <v>42887</v>
      </c>
      <c r="B27" t="s">
        <v>187</v>
      </c>
      <c r="C27" s="249">
        <f t="shared" si="1"/>
        <v>-160</v>
      </c>
      <c r="D27" s="250">
        <f t="shared" si="2"/>
        <v>630</v>
      </c>
      <c r="E27" s="52">
        <f t="shared" si="3"/>
        <v>-100800</v>
      </c>
      <c r="F27" s="43"/>
    </row>
    <row r="28" spans="1:7" x14ac:dyDescent="0.25">
      <c r="A28" s="66">
        <v>42917</v>
      </c>
      <c r="B28" t="s">
        <v>187</v>
      </c>
      <c r="C28" s="249">
        <f t="shared" si="1"/>
        <v>-150</v>
      </c>
      <c r="D28" s="250">
        <f t="shared" si="2"/>
        <v>645</v>
      </c>
      <c r="E28" s="52">
        <f t="shared" si="3"/>
        <v>-96750</v>
      </c>
      <c r="F28" s="43"/>
    </row>
    <row r="29" spans="1:7" x14ac:dyDescent="0.25">
      <c r="A29" s="66">
        <v>42948</v>
      </c>
      <c r="B29" t="s">
        <v>187</v>
      </c>
      <c r="C29" s="249">
        <f t="shared" si="1"/>
        <v>-150</v>
      </c>
      <c r="D29" s="250">
        <f t="shared" si="2"/>
        <v>670</v>
      </c>
      <c r="E29" s="52">
        <f t="shared" si="3"/>
        <v>-100500</v>
      </c>
      <c r="F29" s="43"/>
    </row>
    <row r="30" spans="1:7" x14ac:dyDescent="0.25">
      <c r="A30" s="66">
        <v>42979</v>
      </c>
      <c r="B30" t="s">
        <v>187</v>
      </c>
      <c r="C30" s="249">
        <f t="shared" si="1"/>
        <v>-160</v>
      </c>
      <c r="D30" s="250">
        <f t="shared" si="2"/>
        <v>690</v>
      </c>
      <c r="E30" s="52">
        <f t="shared" si="3"/>
        <v>-110400</v>
      </c>
      <c r="F30" s="43"/>
    </row>
    <row r="31" spans="1:7" x14ac:dyDescent="0.25">
      <c r="A31" s="66">
        <v>43009</v>
      </c>
      <c r="B31" t="s">
        <v>187</v>
      </c>
      <c r="C31" s="249">
        <f>-SUM(C21:C30)-O5</f>
        <v>-141</v>
      </c>
      <c r="D31" s="250">
        <f t="shared" si="2"/>
        <v>690</v>
      </c>
      <c r="E31" s="52">
        <f t="shared" si="3"/>
        <v>-97290</v>
      </c>
      <c r="F31" s="52">
        <f>SUM(E21:E31)</f>
        <v>-1092840</v>
      </c>
      <c r="G31" t="s">
        <v>2</v>
      </c>
    </row>
    <row r="32" spans="1:7" x14ac:dyDescent="0.25">
      <c r="A32" s="47"/>
      <c r="C32" s="252">
        <f>SUM(C7:C31)</f>
        <v>394</v>
      </c>
      <c r="D32" s="252"/>
      <c r="E32" s="52">
        <f t="shared" ref="E32" si="4">SUM(E7:E31)</f>
        <v>282360</v>
      </c>
      <c r="F32" s="43" t="s">
        <v>188</v>
      </c>
    </row>
    <row r="34" spans="2:6" x14ac:dyDescent="0.25">
      <c r="B34" s="47"/>
      <c r="F34" s="3"/>
    </row>
    <row r="36" spans="2:6" x14ac:dyDescent="0.25">
      <c r="B36" s="47"/>
    </row>
    <row r="37" spans="2:6" x14ac:dyDescent="0.25">
      <c r="B37" s="47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73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22" style="34" customWidth="1"/>
    <col min="2" max="2" width="11.42578125" style="3"/>
    <col min="3" max="3" width="5" bestFit="1" customWidth="1"/>
    <col min="4" max="4" width="11.42578125" style="3"/>
    <col min="5" max="5" width="11.42578125" style="34"/>
    <col min="6" max="6" width="5" style="34" bestFit="1" customWidth="1"/>
    <col min="7" max="8" width="11.42578125" style="34"/>
    <col min="9" max="9" width="4.5703125" style="34" bestFit="1" customWidth="1"/>
    <col min="10" max="11" width="11.42578125" style="34"/>
    <col min="12" max="12" width="5" style="34" bestFit="1" customWidth="1"/>
    <col min="13" max="14" width="11.42578125" style="34"/>
    <col min="15" max="15" width="5" style="34" bestFit="1" customWidth="1"/>
    <col min="16" max="17" width="11.42578125" style="34"/>
    <col min="18" max="18" width="5" style="34" bestFit="1" customWidth="1"/>
    <col min="19" max="20" width="11.42578125" style="34"/>
    <col min="21" max="21" width="5" style="34" bestFit="1" customWidth="1"/>
    <col min="22" max="23" width="11.42578125" style="34"/>
    <col min="24" max="24" width="4.5703125" style="34" bestFit="1" customWidth="1"/>
    <col min="25" max="26" width="11.42578125" style="34"/>
    <col min="27" max="27" width="4.5703125" style="34" bestFit="1" customWidth="1"/>
    <col min="28" max="29" width="11.42578125" style="34"/>
    <col min="30" max="30" width="5.5703125" style="34" bestFit="1" customWidth="1"/>
    <col min="31" max="32" width="11.42578125" style="34"/>
    <col min="33" max="33" width="4.5703125" style="34" bestFit="1" customWidth="1"/>
    <col min="34" max="35" width="11.42578125" style="34"/>
    <col min="36" max="36" width="4.5703125" style="34" bestFit="1" customWidth="1"/>
    <col min="37" max="39" width="11.42578125" style="34"/>
    <col min="40" max="40" width="12.42578125" style="109" bestFit="1" customWidth="1"/>
    <col min="41" max="42" width="0" hidden="1" customWidth="1"/>
    <col min="43" max="43" width="12.85546875" style="3" bestFit="1" customWidth="1"/>
  </cols>
  <sheetData>
    <row r="1" spans="1:43" s="4" customFormat="1" x14ac:dyDescent="0.25">
      <c r="A1" s="317"/>
      <c r="B1" s="318">
        <v>42705</v>
      </c>
      <c r="C1" s="318"/>
      <c r="D1" s="319" t="s">
        <v>397</v>
      </c>
      <c r="E1" s="318">
        <v>42736</v>
      </c>
      <c r="F1" s="318"/>
      <c r="G1" s="318" t="s">
        <v>396</v>
      </c>
      <c r="H1" s="318">
        <v>42767</v>
      </c>
      <c r="I1" s="318"/>
      <c r="J1" s="318" t="s">
        <v>398</v>
      </c>
      <c r="K1" s="318">
        <v>42795</v>
      </c>
      <c r="L1" s="318"/>
      <c r="M1" s="318" t="s">
        <v>399</v>
      </c>
      <c r="N1" s="318">
        <v>42826</v>
      </c>
      <c r="O1" s="318"/>
      <c r="P1" s="318" t="s">
        <v>400</v>
      </c>
      <c r="Q1" s="318">
        <v>42856</v>
      </c>
      <c r="R1" s="318"/>
      <c r="S1" s="318" t="s">
        <v>401</v>
      </c>
      <c r="T1" s="318">
        <v>42887</v>
      </c>
      <c r="U1" s="318"/>
      <c r="V1" s="318" t="s">
        <v>402</v>
      </c>
      <c r="W1" s="318">
        <v>42917</v>
      </c>
      <c r="X1" s="318"/>
      <c r="Y1" s="318" t="s">
        <v>403</v>
      </c>
      <c r="Z1" s="318">
        <v>42948</v>
      </c>
      <c r="AA1" s="318"/>
      <c r="AB1" s="318" t="s">
        <v>404</v>
      </c>
      <c r="AC1" s="318">
        <v>42979</v>
      </c>
      <c r="AD1" s="318"/>
      <c r="AE1" s="318" t="s">
        <v>405</v>
      </c>
      <c r="AF1" s="318">
        <v>43009</v>
      </c>
      <c r="AG1" s="318"/>
      <c r="AH1" s="318" t="s">
        <v>406</v>
      </c>
      <c r="AI1" s="318">
        <v>43040</v>
      </c>
      <c r="AJ1" s="318"/>
      <c r="AK1" s="318" t="s">
        <v>407</v>
      </c>
      <c r="AL1" s="318">
        <v>43070</v>
      </c>
      <c r="AM1" s="320" t="s">
        <v>408</v>
      </c>
      <c r="AN1" s="321" t="s">
        <v>264</v>
      </c>
      <c r="AQ1" s="322" t="s">
        <v>303</v>
      </c>
    </row>
    <row r="2" spans="1:43" s="34" customFormat="1" x14ac:dyDescent="0.25">
      <c r="A2" s="241" t="s">
        <v>76</v>
      </c>
      <c r="B2" s="265">
        <f>+'2-REGISTRACIONES'!B48</f>
        <v>246376</v>
      </c>
      <c r="C2" s="265">
        <v>1</v>
      </c>
      <c r="D2" s="265">
        <f>+B2*C2</f>
        <v>246376</v>
      </c>
      <c r="E2" s="235">
        <f>+'2-REGISTRACIONES'!C139</f>
        <v>-6619.29</v>
      </c>
      <c r="F2" s="235">
        <v>1</v>
      </c>
      <c r="G2" s="235">
        <f>+E2*F2</f>
        <v>-6619.29</v>
      </c>
      <c r="H2" s="235">
        <f>+'2-REGISTRACIONES'!D139</f>
        <v>5159.8799999999846</v>
      </c>
      <c r="I2" s="235">
        <v>1</v>
      </c>
      <c r="J2" s="235">
        <f>+H2*I2</f>
        <v>5159.8799999999846</v>
      </c>
      <c r="K2" s="235">
        <f>+'2-REGISTRACIONES'!E139</f>
        <v>-3648.5800000000049</v>
      </c>
      <c r="L2" s="235">
        <v>1</v>
      </c>
      <c r="M2" s="235">
        <f>+K2*L2</f>
        <v>-3648.5800000000049</v>
      </c>
      <c r="N2" s="235">
        <f>+'2-REGISTRACIONES'!F139</f>
        <v>21355.079999999991</v>
      </c>
      <c r="O2" s="235">
        <v>1</v>
      </c>
      <c r="P2" s="235">
        <f>+N2*O2</f>
        <v>21355.079999999991</v>
      </c>
      <c r="Q2" s="235">
        <f>+'2-REGISTRACIONES'!G139</f>
        <v>50719.06</v>
      </c>
      <c r="R2" s="235">
        <v>1</v>
      </c>
      <c r="S2" s="235">
        <f>+Q2*R2</f>
        <v>50719.06</v>
      </c>
      <c r="T2" s="235">
        <f>+'2-REGISTRACIONES'!H139</f>
        <v>8557.9500000000025</v>
      </c>
      <c r="U2" s="235">
        <v>1</v>
      </c>
      <c r="V2" s="235">
        <f>+T2*U2</f>
        <v>8557.9500000000025</v>
      </c>
      <c r="W2" s="235">
        <f>+'2-REGISTRACIONES'!I139</f>
        <v>56782.169999999984</v>
      </c>
      <c r="X2" s="235">
        <v>1</v>
      </c>
      <c r="Y2" s="235">
        <f>+W2*X2</f>
        <v>56782.169999999984</v>
      </c>
      <c r="Z2" s="235">
        <f>+'2-REGISTRACIONES'!J139</f>
        <v>49707.140000000007</v>
      </c>
      <c r="AA2" s="235">
        <v>1</v>
      </c>
      <c r="AB2" s="235">
        <f>+Z2*AA2</f>
        <v>49707.140000000007</v>
      </c>
      <c r="AC2" s="235">
        <f>+'2-REGISTRACIONES'!K139</f>
        <v>40620.880000000005</v>
      </c>
      <c r="AD2" s="235">
        <v>1</v>
      </c>
      <c r="AE2" s="235">
        <f>+AC2*AD2</f>
        <v>40620.880000000005</v>
      </c>
      <c r="AF2" s="235">
        <f>+'2-REGISTRACIONES'!L139</f>
        <v>46060.950000000012</v>
      </c>
      <c r="AG2" s="235">
        <v>1</v>
      </c>
      <c r="AH2" s="235">
        <f>+AF2*AG2</f>
        <v>46060.950000000012</v>
      </c>
      <c r="AI2" s="235">
        <f>+'2-REGISTRACIONES'!M139</f>
        <v>-228056.23</v>
      </c>
      <c r="AJ2" s="235">
        <v>1</v>
      </c>
      <c r="AK2" s="235">
        <f>+AI2*AJ2</f>
        <v>-228056.23</v>
      </c>
      <c r="AL2" s="235">
        <f>+'2-REGISTRACIONES'!N139</f>
        <v>272142.30999999994</v>
      </c>
      <c r="AM2" s="235">
        <f>+AL2</f>
        <v>272142.30999999994</v>
      </c>
      <c r="AN2" s="148">
        <f t="shared" ref="AN2:AN8" si="0">+B2+E2+H2+K2+N2+Q2+T2+W2+Z2+AC2+AF2+AI2+AL2</f>
        <v>559157.31999999995</v>
      </c>
      <c r="AO2" s="100">
        <v>559157.31999999995</v>
      </c>
      <c r="AP2" s="100">
        <f>+AN2-AO2</f>
        <v>0</v>
      </c>
      <c r="AQ2" s="148">
        <f>+D2+G2+J2+M2+P2+S2+V2+Y2+AB2+AE2+AH2+AK2+AM2</f>
        <v>559157.31999999995</v>
      </c>
    </row>
    <row r="3" spans="1:43" x14ac:dyDescent="0.25">
      <c r="A3" s="241" t="s">
        <v>263</v>
      </c>
      <c r="B3" s="265">
        <f>+'2-REGISTRACIONES'!B49</f>
        <v>78250</v>
      </c>
      <c r="C3" s="265">
        <f>+'1-COEF REALES'!D21</f>
        <v>1.25</v>
      </c>
      <c r="D3" s="265">
        <f t="shared" ref="D3:D8" si="1">+B3*C3</f>
        <v>97812.5</v>
      </c>
      <c r="E3" s="235"/>
      <c r="F3" s="235"/>
      <c r="G3" s="235">
        <f t="shared" ref="G3:G19" si="2">+E3*F3</f>
        <v>0</v>
      </c>
      <c r="H3" s="235"/>
      <c r="I3" s="235"/>
      <c r="J3" s="235"/>
      <c r="K3" s="235"/>
      <c r="L3" s="235"/>
      <c r="M3" s="235">
        <f t="shared" ref="M3:M8" si="3">+K3*L3</f>
        <v>0</v>
      </c>
      <c r="N3" s="235"/>
      <c r="O3" s="235"/>
      <c r="P3" s="235">
        <f t="shared" ref="P3:P8" si="4">+N3*O3</f>
        <v>0</v>
      </c>
      <c r="Q3" s="235"/>
      <c r="R3" s="235"/>
      <c r="S3" s="235"/>
      <c r="T3" s="235"/>
      <c r="U3" s="235"/>
      <c r="V3" s="235">
        <f t="shared" ref="V3:V8" si="5">+T3*U3</f>
        <v>0</v>
      </c>
      <c r="W3" s="235"/>
      <c r="X3" s="235"/>
      <c r="Y3" s="235">
        <f t="shared" ref="Y3:Y8" si="6">+W3*X3</f>
        <v>0</v>
      </c>
      <c r="Z3" s="235"/>
      <c r="AA3" s="235"/>
      <c r="AB3" s="235">
        <f t="shared" ref="AB3:AB8" si="7">+Z3*AA3</f>
        <v>0</v>
      </c>
      <c r="AC3" s="235"/>
      <c r="AD3" s="235"/>
      <c r="AE3" s="235">
        <f t="shared" ref="AE3:AE8" si="8">+AC3*AD3</f>
        <v>0</v>
      </c>
      <c r="AF3" s="235"/>
      <c r="AG3" s="235"/>
      <c r="AH3" s="235">
        <f t="shared" ref="AH3:AH8" si="9">+AF3*AG3</f>
        <v>0</v>
      </c>
      <c r="AI3" s="235"/>
      <c r="AJ3" s="235"/>
      <c r="AK3" s="235">
        <f t="shared" ref="AK3:AK8" si="10">+AI3*AJ3</f>
        <v>0</v>
      </c>
      <c r="AL3" s="235">
        <f>+'5-BALANCES Y CALCULOS'!H4</f>
        <v>13750</v>
      </c>
      <c r="AM3" s="235">
        <f>+AM26</f>
        <v>-5812.5</v>
      </c>
      <c r="AN3" s="148">
        <f t="shared" si="0"/>
        <v>92000</v>
      </c>
      <c r="AO3">
        <v>78250</v>
      </c>
      <c r="AP3" s="3">
        <f t="shared" ref="AP3:AP55" si="11">+AN3-AO3</f>
        <v>13750</v>
      </c>
      <c r="AQ3" s="148">
        <f>+D3+G3+J3+M3+P3+S3+V3+Y3+AB3+AE3+AH3+AK3+AM3</f>
        <v>92000</v>
      </c>
    </row>
    <row r="4" spans="1:43" x14ac:dyDescent="0.25">
      <c r="A4" s="241" t="s">
        <v>259</v>
      </c>
      <c r="B4" s="265">
        <v>0</v>
      </c>
      <c r="C4" s="265">
        <f>+C3</f>
        <v>1.25</v>
      </c>
      <c r="D4" s="265">
        <f t="shared" si="1"/>
        <v>0</v>
      </c>
      <c r="E4" s="235"/>
      <c r="F4" s="235"/>
      <c r="G4" s="235">
        <f t="shared" si="2"/>
        <v>0</v>
      </c>
      <c r="H4" s="235"/>
      <c r="I4" s="235"/>
      <c r="J4" s="235"/>
      <c r="K4" s="235"/>
      <c r="L4" s="235"/>
      <c r="M4" s="235">
        <f t="shared" si="3"/>
        <v>0</v>
      </c>
      <c r="N4" s="235"/>
      <c r="O4" s="235"/>
      <c r="P4" s="235">
        <f t="shared" si="4"/>
        <v>0</v>
      </c>
      <c r="Q4" s="235"/>
      <c r="R4" s="235"/>
      <c r="S4" s="235"/>
      <c r="T4" s="235"/>
      <c r="U4" s="235"/>
      <c r="V4" s="235">
        <f t="shared" si="5"/>
        <v>0</v>
      </c>
      <c r="W4" s="235"/>
      <c r="X4" s="235"/>
      <c r="Y4" s="235">
        <f t="shared" si="6"/>
        <v>0</v>
      </c>
      <c r="Z4" s="235"/>
      <c r="AA4" s="235"/>
      <c r="AB4" s="235">
        <f t="shared" si="7"/>
        <v>0</v>
      </c>
      <c r="AC4" s="235"/>
      <c r="AD4" s="235"/>
      <c r="AE4" s="235">
        <f t="shared" si="8"/>
        <v>0</v>
      </c>
      <c r="AF4" s="235"/>
      <c r="AG4" s="235"/>
      <c r="AH4" s="235">
        <f t="shared" si="9"/>
        <v>0</v>
      </c>
      <c r="AI4" s="235">
        <f>+'2-REGISTRACIONES'!M64</f>
        <v>272472.70049999998</v>
      </c>
      <c r="AJ4" s="235">
        <v>1</v>
      </c>
      <c r="AK4" s="235">
        <f t="shared" si="10"/>
        <v>272472.70049999998</v>
      </c>
      <c r="AL4" s="235"/>
      <c r="AM4" s="235"/>
      <c r="AN4" s="148">
        <f t="shared" si="0"/>
        <v>272472.70049999998</v>
      </c>
      <c r="AO4">
        <v>272472.7</v>
      </c>
      <c r="AP4" s="3">
        <f t="shared" si="11"/>
        <v>4.9999996554106474E-4</v>
      </c>
      <c r="AQ4" s="148">
        <f t="shared" ref="AQ4:AQ16" si="12">+D4+G4+J4+M4+P4+S4+V4+Y4+AB4+AE4+AH4+AK4+AM4</f>
        <v>272472.70049999998</v>
      </c>
    </row>
    <row r="5" spans="1:43" x14ac:dyDescent="0.25">
      <c r="A5" s="241" t="s">
        <v>74</v>
      </c>
      <c r="C5" s="265">
        <f>+C3</f>
        <v>1.25</v>
      </c>
      <c r="D5" s="265">
        <f t="shared" si="1"/>
        <v>0</v>
      </c>
      <c r="E5" s="235">
        <f>+'3-CMV HIST'!E8+E25</f>
        <v>0</v>
      </c>
      <c r="F5" s="235"/>
      <c r="G5" s="235">
        <f t="shared" si="2"/>
        <v>0</v>
      </c>
      <c r="H5" s="235">
        <f>+'3-CMV HIST'!E9+H25</f>
        <v>0</v>
      </c>
      <c r="I5" s="235"/>
      <c r="J5" s="235"/>
      <c r="K5" s="235">
        <f>+'3-CMV HIST'!E10+K25</f>
        <v>0</v>
      </c>
      <c r="L5" s="235"/>
      <c r="M5" s="235">
        <f t="shared" si="3"/>
        <v>0</v>
      </c>
      <c r="N5" s="235">
        <f>+'3-CMV HIST'!E11+N25</f>
        <v>0</v>
      </c>
      <c r="O5" s="235"/>
      <c r="P5" s="235">
        <f t="shared" si="4"/>
        <v>0</v>
      </c>
      <c r="Q5" s="235">
        <f>+'3-CMV HIST'!E12+Q25</f>
        <v>0</v>
      </c>
      <c r="R5" s="235"/>
      <c r="S5" s="235"/>
      <c r="T5" s="235">
        <f>+'3-CMV HIST'!E13+T25</f>
        <v>0</v>
      </c>
      <c r="U5" s="235"/>
      <c r="V5" s="235">
        <f t="shared" si="5"/>
        <v>0</v>
      </c>
      <c r="W5" s="235">
        <f>+'3-CMV HIST'!E14+W25</f>
        <v>0</v>
      </c>
      <c r="X5" s="235"/>
      <c r="Y5" s="235">
        <f t="shared" si="6"/>
        <v>0</v>
      </c>
      <c r="Z5" s="235">
        <f>+'3-CMV HIST'!E15+Z25</f>
        <v>0</v>
      </c>
      <c r="AA5" s="235"/>
      <c r="AB5" s="235">
        <f t="shared" si="7"/>
        <v>0</v>
      </c>
      <c r="AC5" s="235">
        <f>+'3-CMV HIST'!E16+AC25</f>
        <v>0</v>
      </c>
      <c r="AD5" s="235"/>
      <c r="AE5" s="235">
        <f t="shared" si="8"/>
        <v>0</v>
      </c>
      <c r="AF5" s="235">
        <f>+'3-CMV HIST'!E17+AF25</f>
        <v>13110</v>
      </c>
      <c r="AG5" s="235">
        <f>+'1-COEF REALES'!D31</f>
        <v>1.05</v>
      </c>
      <c r="AH5" s="235">
        <f t="shared" si="9"/>
        <v>13765.5</v>
      </c>
      <c r="AI5" s="235">
        <f>+'3-CMV HIST'!E18</f>
        <v>126900</v>
      </c>
      <c r="AJ5" s="235">
        <f>+'1-COEF REALES'!D32</f>
        <v>1.03</v>
      </c>
      <c r="AK5" s="235">
        <f t="shared" si="10"/>
        <v>130707</v>
      </c>
      <c r="AL5" s="235">
        <f>+'3-CMV HIST'!E19+AL29</f>
        <v>147610</v>
      </c>
      <c r="AM5" s="235">
        <f>+'3-CMV HIST'!E19+AM29</f>
        <v>143147.5</v>
      </c>
      <c r="AN5" s="148">
        <f>+B5+E5+H5+K5+N5+Q5+T5+W5+Z5+AC5+AF5+AI5+AL5</f>
        <v>287620</v>
      </c>
      <c r="AO5">
        <v>282360</v>
      </c>
      <c r="AP5" s="3">
        <f t="shared" si="11"/>
        <v>5260</v>
      </c>
      <c r="AQ5" s="148">
        <f>+G5+J5+M5+P5+S5+V5+Y5+AB5+AE5+AH5+AK5+AM29+'5-BALANCES Y CALCULOS'!H9</f>
        <v>287620</v>
      </c>
    </row>
    <row r="6" spans="1:43" x14ac:dyDescent="0.25">
      <c r="A6" s="241" t="s">
        <v>258</v>
      </c>
      <c r="B6" s="265">
        <f>+'2-REGISTRACIONES'!B51</f>
        <v>22244</v>
      </c>
      <c r="C6" s="265">
        <f>+C3</f>
        <v>1.25</v>
      </c>
      <c r="D6" s="265">
        <f t="shared" si="1"/>
        <v>27805</v>
      </c>
      <c r="E6" s="235">
        <f>+'2-REGISTRACIONES'!C95</f>
        <v>-370.73333333333335</v>
      </c>
      <c r="F6" s="235">
        <f>+C3</f>
        <v>1.25</v>
      </c>
      <c r="G6" s="235">
        <f t="shared" si="2"/>
        <v>-463.41666666666669</v>
      </c>
      <c r="H6" s="235">
        <f>+E6</f>
        <v>-370.73333333333335</v>
      </c>
      <c r="I6" s="235">
        <f>+C3</f>
        <v>1.25</v>
      </c>
      <c r="J6" s="235">
        <f>+H6*I6</f>
        <v>-463.41666666666669</v>
      </c>
      <c r="K6" s="235">
        <f>+H6</f>
        <v>-370.73333333333335</v>
      </c>
      <c r="L6" s="235">
        <f>+C3</f>
        <v>1.25</v>
      </c>
      <c r="M6" s="235">
        <f t="shared" si="3"/>
        <v>-463.41666666666669</v>
      </c>
      <c r="N6" s="235">
        <f>+K6</f>
        <v>-370.73333333333335</v>
      </c>
      <c r="O6" s="235">
        <f>+C3</f>
        <v>1.25</v>
      </c>
      <c r="P6" s="235">
        <f t="shared" si="4"/>
        <v>-463.41666666666669</v>
      </c>
      <c r="Q6" s="235">
        <f>+N6</f>
        <v>-370.73333333333335</v>
      </c>
      <c r="R6" s="235">
        <f>+C3</f>
        <v>1.25</v>
      </c>
      <c r="S6" s="235">
        <f>+Q6*R6</f>
        <v>-463.41666666666669</v>
      </c>
      <c r="T6" s="235">
        <f>+Q6</f>
        <v>-370.73333333333335</v>
      </c>
      <c r="U6" s="235">
        <f>+C3</f>
        <v>1.25</v>
      </c>
      <c r="V6" s="235">
        <f t="shared" si="5"/>
        <v>-463.41666666666669</v>
      </c>
      <c r="W6" s="235">
        <f>+T6</f>
        <v>-370.73333333333335</v>
      </c>
      <c r="X6" s="235">
        <f>+C3</f>
        <v>1.25</v>
      </c>
      <c r="Y6" s="235">
        <f t="shared" si="6"/>
        <v>-463.41666666666669</v>
      </c>
      <c r="Z6" s="235">
        <f>+W6</f>
        <v>-370.73333333333335</v>
      </c>
      <c r="AA6" s="235">
        <f>+C3</f>
        <v>1.25</v>
      </c>
      <c r="AB6" s="235">
        <f t="shared" si="7"/>
        <v>-463.41666666666669</v>
      </c>
      <c r="AC6" s="235">
        <f>+Z6</f>
        <v>-370.73333333333335</v>
      </c>
      <c r="AD6" s="235">
        <f>+C3</f>
        <v>1.25</v>
      </c>
      <c r="AE6" s="235">
        <f t="shared" si="8"/>
        <v>-463.41666666666669</v>
      </c>
      <c r="AF6" s="235">
        <f>+AC6</f>
        <v>-370.73333333333335</v>
      </c>
      <c r="AG6" s="235">
        <f>+C3</f>
        <v>1.25</v>
      </c>
      <c r="AH6" s="235">
        <f t="shared" si="9"/>
        <v>-463.41666666666669</v>
      </c>
      <c r="AI6" s="235">
        <f>+AF6</f>
        <v>-370.73333333333335</v>
      </c>
      <c r="AJ6" s="235">
        <f>+C3</f>
        <v>1.25</v>
      </c>
      <c r="AK6" s="235">
        <f t="shared" si="10"/>
        <v>-463.41666666666669</v>
      </c>
      <c r="AL6" s="235">
        <f>+AI6</f>
        <v>-370.73333333333335</v>
      </c>
      <c r="AM6" s="235">
        <f>+AK6</f>
        <v>-463.41666666666669</v>
      </c>
      <c r="AN6" s="148">
        <f t="shared" si="0"/>
        <v>17795.199999999997</v>
      </c>
      <c r="AO6">
        <v>17795.199999999997</v>
      </c>
      <c r="AP6" s="3">
        <f t="shared" si="11"/>
        <v>0</v>
      </c>
      <c r="AQ6" s="148">
        <f t="shared" si="12"/>
        <v>22243.999999999985</v>
      </c>
    </row>
    <row r="7" spans="1:43" x14ac:dyDescent="0.25">
      <c r="A7" s="241" t="s">
        <v>86</v>
      </c>
      <c r="B7" s="265">
        <f>+'2-REGISTRACIONES'!B52</f>
        <v>98355</v>
      </c>
      <c r="C7" s="265">
        <f>+C3</f>
        <v>1.25</v>
      </c>
      <c r="D7" s="265">
        <f t="shared" si="1"/>
        <v>122943.75</v>
      </c>
      <c r="E7" s="235">
        <f>+'2-REGISTRACIONES'!C98</f>
        <v>-819.625</v>
      </c>
      <c r="F7" s="235">
        <f>+C3</f>
        <v>1.25</v>
      </c>
      <c r="G7" s="235">
        <f t="shared" si="2"/>
        <v>-1024.53125</v>
      </c>
      <c r="H7" s="235">
        <f>+E7</f>
        <v>-819.625</v>
      </c>
      <c r="I7" s="235">
        <f>+C3</f>
        <v>1.25</v>
      </c>
      <c r="J7" s="235">
        <f t="shared" ref="J7:J8" si="13">+H7*I7</f>
        <v>-1024.53125</v>
      </c>
      <c r="K7" s="235">
        <f t="shared" ref="K7:K8" si="14">+H7</f>
        <v>-819.625</v>
      </c>
      <c r="L7" s="235">
        <f>+C3</f>
        <v>1.25</v>
      </c>
      <c r="M7" s="235">
        <f t="shared" si="3"/>
        <v>-1024.53125</v>
      </c>
      <c r="N7" s="235">
        <f t="shared" ref="N7:N8" si="15">+K7</f>
        <v>-819.625</v>
      </c>
      <c r="O7" s="235">
        <f>+C3</f>
        <v>1.25</v>
      </c>
      <c r="P7" s="235">
        <f t="shared" si="4"/>
        <v>-1024.53125</v>
      </c>
      <c r="Q7" s="235">
        <f t="shared" ref="Q7:Q8" si="16">+N7</f>
        <v>-819.625</v>
      </c>
      <c r="R7" s="235">
        <f>+C3</f>
        <v>1.25</v>
      </c>
      <c r="S7" s="235">
        <f t="shared" ref="S7:S8" si="17">+Q7*R7</f>
        <v>-1024.53125</v>
      </c>
      <c r="T7" s="235">
        <f t="shared" ref="T7:T8" si="18">+Q7</f>
        <v>-819.625</v>
      </c>
      <c r="U7" s="235">
        <f>+C3</f>
        <v>1.25</v>
      </c>
      <c r="V7" s="235">
        <f t="shared" si="5"/>
        <v>-1024.53125</v>
      </c>
      <c r="W7" s="235">
        <f t="shared" ref="W7:W8" si="19">+T7</f>
        <v>-819.625</v>
      </c>
      <c r="X7" s="235">
        <f>+C3</f>
        <v>1.25</v>
      </c>
      <c r="Y7" s="235">
        <f t="shared" si="6"/>
        <v>-1024.53125</v>
      </c>
      <c r="Z7" s="235">
        <f t="shared" ref="Z7:Z8" si="20">+W7</f>
        <v>-819.625</v>
      </c>
      <c r="AA7" s="235">
        <f>+C3</f>
        <v>1.25</v>
      </c>
      <c r="AB7" s="235">
        <f t="shared" si="7"/>
        <v>-1024.53125</v>
      </c>
      <c r="AC7" s="235">
        <f t="shared" ref="AC7:AC8" si="21">+Z7</f>
        <v>-819.625</v>
      </c>
      <c r="AD7" s="235">
        <f>+C3</f>
        <v>1.25</v>
      </c>
      <c r="AE7" s="235">
        <f t="shared" si="8"/>
        <v>-1024.53125</v>
      </c>
      <c r="AF7" s="235">
        <f t="shared" ref="AF7:AF8" si="22">+AC7</f>
        <v>-819.625</v>
      </c>
      <c r="AG7" s="235">
        <f>+C3</f>
        <v>1.25</v>
      </c>
      <c r="AH7" s="235">
        <f t="shared" si="9"/>
        <v>-1024.53125</v>
      </c>
      <c r="AI7" s="235">
        <f t="shared" ref="AI7:AI8" si="23">+AF7</f>
        <v>-819.625</v>
      </c>
      <c r="AJ7" s="235">
        <f>+C3</f>
        <v>1.25</v>
      </c>
      <c r="AK7" s="235">
        <f t="shared" si="10"/>
        <v>-1024.53125</v>
      </c>
      <c r="AL7" s="235">
        <f t="shared" ref="AL7:AL8" si="24">+AI7</f>
        <v>-819.625</v>
      </c>
      <c r="AM7" s="235">
        <f>+AK7</f>
        <v>-1024.53125</v>
      </c>
      <c r="AN7" s="148">
        <f t="shared" si="0"/>
        <v>88519.5</v>
      </c>
      <c r="AO7">
        <v>88519.5</v>
      </c>
      <c r="AP7" s="3">
        <f t="shared" si="11"/>
        <v>0</v>
      </c>
      <c r="AQ7" s="148">
        <f t="shared" si="12"/>
        <v>110649.375</v>
      </c>
    </row>
    <row r="8" spans="1:43" x14ac:dyDescent="0.25">
      <c r="A8" s="241" t="s">
        <v>87</v>
      </c>
      <c r="B8" s="265">
        <f>+'2-REGISTRACIONES'!B53</f>
        <v>44753</v>
      </c>
      <c r="C8" s="265">
        <f>+C3</f>
        <v>1.25</v>
      </c>
      <c r="D8" s="265">
        <f t="shared" si="1"/>
        <v>55941.25</v>
      </c>
      <c r="E8" s="235">
        <f>+'2-REGISTRACIONES'!C101</f>
        <v>-745.88333333333333</v>
      </c>
      <c r="F8" s="235">
        <f>+C3</f>
        <v>1.25</v>
      </c>
      <c r="G8" s="235">
        <f t="shared" si="2"/>
        <v>-932.35416666666663</v>
      </c>
      <c r="H8" s="235">
        <f>+E8</f>
        <v>-745.88333333333333</v>
      </c>
      <c r="I8" s="235">
        <f>+C3</f>
        <v>1.25</v>
      </c>
      <c r="J8" s="235">
        <f t="shared" si="13"/>
        <v>-932.35416666666663</v>
      </c>
      <c r="K8" s="235">
        <f t="shared" si="14"/>
        <v>-745.88333333333333</v>
      </c>
      <c r="L8" s="235">
        <f>+C3</f>
        <v>1.25</v>
      </c>
      <c r="M8" s="235">
        <f t="shared" si="3"/>
        <v>-932.35416666666663</v>
      </c>
      <c r="N8" s="235">
        <f t="shared" si="15"/>
        <v>-745.88333333333333</v>
      </c>
      <c r="O8" s="235">
        <f>+C3</f>
        <v>1.25</v>
      </c>
      <c r="P8" s="235">
        <f t="shared" si="4"/>
        <v>-932.35416666666663</v>
      </c>
      <c r="Q8" s="235">
        <f t="shared" si="16"/>
        <v>-745.88333333333333</v>
      </c>
      <c r="R8" s="235">
        <f>+C3</f>
        <v>1.25</v>
      </c>
      <c r="S8" s="235">
        <f t="shared" si="17"/>
        <v>-932.35416666666663</v>
      </c>
      <c r="T8" s="235">
        <f t="shared" si="18"/>
        <v>-745.88333333333333</v>
      </c>
      <c r="U8" s="235">
        <f>+C3</f>
        <v>1.25</v>
      </c>
      <c r="V8" s="235">
        <f t="shared" si="5"/>
        <v>-932.35416666666663</v>
      </c>
      <c r="W8" s="235">
        <f t="shared" si="19"/>
        <v>-745.88333333333333</v>
      </c>
      <c r="X8" s="235">
        <f>+C3</f>
        <v>1.25</v>
      </c>
      <c r="Y8" s="235">
        <f t="shared" si="6"/>
        <v>-932.35416666666663</v>
      </c>
      <c r="Z8" s="235">
        <f t="shared" si="20"/>
        <v>-745.88333333333333</v>
      </c>
      <c r="AA8" s="235">
        <f>+C3</f>
        <v>1.25</v>
      </c>
      <c r="AB8" s="235">
        <f t="shared" si="7"/>
        <v>-932.35416666666663</v>
      </c>
      <c r="AC8" s="235">
        <f t="shared" si="21"/>
        <v>-745.88333333333333</v>
      </c>
      <c r="AD8" s="235">
        <f>+C3</f>
        <v>1.25</v>
      </c>
      <c r="AE8" s="235">
        <f t="shared" si="8"/>
        <v>-932.35416666666663</v>
      </c>
      <c r="AF8" s="235">
        <f t="shared" si="22"/>
        <v>-745.88333333333333</v>
      </c>
      <c r="AG8" s="235">
        <f>+C3</f>
        <v>1.25</v>
      </c>
      <c r="AH8" s="235">
        <f t="shared" si="9"/>
        <v>-932.35416666666663</v>
      </c>
      <c r="AI8" s="235">
        <f t="shared" si="23"/>
        <v>-745.88333333333333</v>
      </c>
      <c r="AJ8" s="235">
        <f>+C3</f>
        <v>1.25</v>
      </c>
      <c r="AK8" s="235">
        <f t="shared" si="10"/>
        <v>-932.35416666666663</v>
      </c>
      <c r="AL8" s="235">
        <f t="shared" si="24"/>
        <v>-745.88333333333333</v>
      </c>
      <c r="AM8" s="235">
        <f>+AK8</f>
        <v>-932.35416666666663</v>
      </c>
      <c r="AN8" s="148">
        <f t="shared" si="0"/>
        <v>35802.400000000023</v>
      </c>
      <c r="AO8">
        <v>35802.400000000001</v>
      </c>
      <c r="AP8" s="3">
        <f t="shared" si="11"/>
        <v>0</v>
      </c>
      <c r="AQ8" s="148">
        <f t="shared" si="12"/>
        <v>44753.000000000029</v>
      </c>
    </row>
    <row r="9" spans="1:43" s="106" customFormat="1" x14ac:dyDescent="0.25">
      <c r="A9" s="242" t="s">
        <v>142</v>
      </c>
      <c r="B9" s="237">
        <f>SUM(B2:B8)</f>
        <v>489978</v>
      </c>
      <c r="C9" s="237"/>
      <c r="D9" s="237">
        <f t="shared" ref="D9:G9" si="25">SUM(D2:D8)</f>
        <v>550878.5</v>
      </c>
      <c r="E9" s="237">
        <f t="shared" si="25"/>
        <v>-8555.5316666666677</v>
      </c>
      <c r="F9" s="237"/>
      <c r="G9" s="237">
        <f t="shared" si="25"/>
        <v>-9039.592083333333</v>
      </c>
      <c r="H9" s="237">
        <f t="shared" ref="H9:J9" si="26">SUM(H2:H8)</f>
        <v>3223.6383333333179</v>
      </c>
      <c r="I9" s="237"/>
      <c r="J9" s="237">
        <f t="shared" si="26"/>
        <v>2739.5779166666512</v>
      </c>
      <c r="K9" s="237">
        <f t="shared" ref="K9" si="27">SUM(K2:K8)</f>
        <v>-5584.8216666666713</v>
      </c>
      <c r="L9" s="237"/>
      <c r="M9" s="237">
        <f>SUM(M2:M8)</f>
        <v>-6068.8820833333384</v>
      </c>
      <c r="N9" s="237">
        <f t="shared" ref="N9" si="28">SUM(N2:N8)</f>
        <v>19418.838333333322</v>
      </c>
      <c r="O9" s="237"/>
      <c r="P9" s="237">
        <f>SUM(P2:P8)</f>
        <v>18934.777916666655</v>
      </c>
      <c r="Q9" s="237">
        <f t="shared" ref="Q9:S9" si="29">SUM(Q2:Q8)</f>
        <v>48782.818333333336</v>
      </c>
      <c r="R9" s="237"/>
      <c r="S9" s="237">
        <f t="shared" si="29"/>
        <v>48298.757916666669</v>
      </c>
      <c r="T9" s="237">
        <f t="shared" ref="T9" si="30">SUM(T2:T8)</f>
        <v>6621.7083333333358</v>
      </c>
      <c r="U9" s="237"/>
      <c r="V9" s="237">
        <f>SUM(V2:V8)</f>
        <v>6137.6479166666686</v>
      </c>
      <c r="W9" s="237">
        <f t="shared" ref="W9" si="31">SUM(W2:W8)</f>
        <v>54845.928333333322</v>
      </c>
      <c r="X9" s="237"/>
      <c r="Y9" s="237">
        <f>SUM(Y2:Y8)</f>
        <v>54361.867916666655</v>
      </c>
      <c r="Z9" s="237">
        <f t="shared" ref="Z9" si="32">SUM(Z2:Z8)</f>
        <v>47770.898333333345</v>
      </c>
      <c r="AA9" s="237"/>
      <c r="AB9" s="237">
        <f>SUM(AB2:AB8)</f>
        <v>47286.837916666678</v>
      </c>
      <c r="AC9" s="237">
        <f t="shared" ref="AC9" si="33">SUM(AC2:AC8)</f>
        <v>38684.638333333343</v>
      </c>
      <c r="AD9" s="237"/>
      <c r="AE9" s="237">
        <f>SUM(AE2:AE8)</f>
        <v>38200.577916666676</v>
      </c>
      <c r="AF9" s="237">
        <f t="shared" ref="AF9" si="34">SUM(AF2:AF8)</f>
        <v>57234.70833333335</v>
      </c>
      <c r="AG9" s="237"/>
      <c r="AH9" s="237">
        <f>SUM(AH2:AH8)</f>
        <v>57406.147916666683</v>
      </c>
      <c r="AI9" s="237">
        <f t="shared" ref="AI9" si="35">SUM(AI2:AI8)</f>
        <v>169380.2288333333</v>
      </c>
      <c r="AJ9" s="237"/>
      <c r="AK9" s="237">
        <f>SUM(AK2:AK8)</f>
        <v>172703.16841666665</v>
      </c>
      <c r="AL9" s="237">
        <f t="shared" ref="AL9" si="36">SUM(AL2:AL8)</f>
        <v>431566.06833333324</v>
      </c>
      <c r="AM9" s="237">
        <f>SUM(AM2:AM8)</f>
        <v>407057.00791666657</v>
      </c>
      <c r="AN9" s="149">
        <f>SUM(AN2:AN8)</f>
        <v>1353367.1204999997</v>
      </c>
      <c r="AO9" s="106">
        <v>1334357.1199999999</v>
      </c>
      <c r="AP9" s="3">
        <f t="shared" si="11"/>
        <v>19010.000499999849</v>
      </c>
      <c r="AQ9" s="150">
        <f>SUM(AQ2:AQ8)</f>
        <v>1388896.3954999999</v>
      </c>
    </row>
    <row r="10" spans="1:43" x14ac:dyDescent="0.25">
      <c r="A10" s="34" t="s">
        <v>132</v>
      </c>
      <c r="B10" s="62"/>
      <c r="C10" s="236"/>
      <c r="D10" s="62"/>
      <c r="E10" s="62"/>
      <c r="F10" s="62"/>
      <c r="G10" s="62">
        <f t="shared" si="2"/>
        <v>0</v>
      </c>
      <c r="H10" s="62"/>
      <c r="I10" s="62"/>
      <c r="J10" s="62"/>
      <c r="K10" s="62"/>
      <c r="L10" s="62"/>
      <c r="M10" s="62">
        <f>+K10*L10</f>
        <v>0</v>
      </c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>
        <f>-'2-REGISTRACIONES'!N62</f>
        <v>172243.5</v>
      </c>
      <c r="AM10" s="62">
        <f>+AL10</f>
        <v>172243.5</v>
      </c>
      <c r="AN10" s="148">
        <f t="shared" ref="AN10:AN16" si="37">+B10+E10+H10+K10+N10+Q10+T10+W10+Z10+AC10+AF10+AI10+AL10</f>
        <v>172243.5</v>
      </c>
      <c r="AO10">
        <v>172243.5</v>
      </c>
      <c r="AP10" s="3">
        <f t="shared" si="11"/>
        <v>0</v>
      </c>
      <c r="AQ10" s="148">
        <f t="shared" si="12"/>
        <v>172243.5</v>
      </c>
    </row>
    <row r="11" spans="1:43" x14ac:dyDescent="0.25">
      <c r="A11" s="34" t="s">
        <v>138</v>
      </c>
      <c r="B11" s="62"/>
      <c r="C11" s="62"/>
      <c r="D11" s="62"/>
      <c r="E11" s="62">
        <f>-'2-REGISTRACIONES'!C140</f>
        <v>4253.1299999999983</v>
      </c>
      <c r="F11" s="62">
        <v>1</v>
      </c>
      <c r="G11" s="62">
        <f t="shared" si="2"/>
        <v>4253.1299999999983</v>
      </c>
      <c r="H11" s="62">
        <f>-'2-REGISTRACIONES'!D140</f>
        <v>6182.82</v>
      </c>
      <c r="I11" s="62">
        <v>1</v>
      </c>
      <c r="J11" s="62">
        <f>+H11*I11</f>
        <v>6182.82</v>
      </c>
      <c r="K11" s="62">
        <f>-'2-REGISTRACIONES'!E140</f>
        <v>4656.33</v>
      </c>
      <c r="L11" s="62">
        <v>1</v>
      </c>
      <c r="M11" s="62">
        <f t="shared" ref="M11:M16" si="38">+K11*L11</f>
        <v>4656.33</v>
      </c>
      <c r="N11" s="62">
        <f>-'2-REGISTRACIONES'!F140</f>
        <v>9211.0199999999986</v>
      </c>
      <c r="O11" s="62">
        <v>1</v>
      </c>
      <c r="P11" s="62">
        <f>+N11*O11</f>
        <v>9211.0199999999986</v>
      </c>
      <c r="Q11" s="62">
        <f>-'2-REGISTRACIONES'!G140</f>
        <v>14235.060000000001</v>
      </c>
      <c r="R11" s="62">
        <v>1</v>
      </c>
      <c r="S11" s="62">
        <f>+Q11*R11</f>
        <v>14235.060000000001</v>
      </c>
      <c r="T11" s="62">
        <f>-'2-REGISTRACIONES'!H140</f>
        <v>9102.8700000000026</v>
      </c>
      <c r="U11" s="62">
        <v>1</v>
      </c>
      <c r="V11" s="62">
        <f>+T11*U11</f>
        <v>9102.8700000000026</v>
      </c>
      <c r="W11" s="62">
        <f>-'2-REGISTRACIONES'!I140</f>
        <v>15550.289999999997</v>
      </c>
      <c r="X11" s="62">
        <v>1</v>
      </c>
      <c r="Y11" s="62">
        <f>+W11*X11</f>
        <v>15550.289999999997</v>
      </c>
      <c r="Z11" s="62">
        <f>-'2-REGISTRACIONES'!J140</f>
        <v>15017.939999999997</v>
      </c>
      <c r="AA11" s="62">
        <v>1</v>
      </c>
      <c r="AB11" s="62">
        <f>+Z11*AA11</f>
        <v>15017.939999999997</v>
      </c>
      <c r="AC11" s="62">
        <f>-'2-REGISTRACIONES'!K140</f>
        <v>13478.219999999998</v>
      </c>
      <c r="AD11" s="62">
        <v>1</v>
      </c>
      <c r="AE11" s="62">
        <f>+AC11*AD11</f>
        <v>13478.219999999998</v>
      </c>
      <c r="AF11" s="62">
        <f>-'2-REGISTRACIONES'!L140</f>
        <v>14463.329999999996</v>
      </c>
      <c r="AG11" s="62">
        <v>1</v>
      </c>
      <c r="AH11" s="62">
        <f>+AF11*AG11</f>
        <v>14463.329999999996</v>
      </c>
      <c r="AI11" s="62">
        <f>-'2-REGISTRACIONES'!M140</f>
        <v>13327.859999999999</v>
      </c>
      <c r="AJ11" s="62">
        <v>1</v>
      </c>
      <c r="AK11" s="62">
        <f>+AI11*AJ11</f>
        <v>13327.859999999999</v>
      </c>
      <c r="AL11" s="62">
        <f>-'2-REGISTRACIONES'!N140</f>
        <v>16812.810000000001</v>
      </c>
      <c r="AM11" s="62">
        <f>+AL11</f>
        <v>16812.810000000001</v>
      </c>
      <c r="AN11" s="148">
        <f t="shared" si="37"/>
        <v>136291.68000000002</v>
      </c>
      <c r="AO11">
        <v>136291.68</v>
      </c>
      <c r="AP11" s="3">
        <f t="shared" si="11"/>
        <v>0</v>
      </c>
      <c r="AQ11" s="148">
        <f t="shared" si="12"/>
        <v>136291.68000000002</v>
      </c>
    </row>
    <row r="12" spans="1:43" s="106" customFormat="1" x14ac:dyDescent="0.25">
      <c r="A12" s="243" t="s">
        <v>175</v>
      </c>
      <c r="B12" s="238">
        <f>-B54</f>
        <v>0</v>
      </c>
      <c r="C12" s="238"/>
      <c r="D12" s="238"/>
      <c r="E12" s="238"/>
      <c r="F12" s="238"/>
      <c r="G12" s="62">
        <f t="shared" si="2"/>
        <v>0</v>
      </c>
      <c r="H12" s="238"/>
      <c r="I12" s="238"/>
      <c r="J12" s="238"/>
      <c r="K12" s="238"/>
      <c r="L12" s="238"/>
      <c r="M12" s="62">
        <f t="shared" si="38"/>
        <v>0</v>
      </c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128">
        <f>-AN54</f>
        <v>96047.868175000011</v>
      </c>
      <c r="AM12" s="238">
        <f>-AQ54</f>
        <v>45940.03942500001</v>
      </c>
      <c r="AN12" s="148">
        <f t="shared" si="37"/>
        <v>96047.868175000011</v>
      </c>
      <c r="AO12" s="106">
        <v>89394.368000000031</v>
      </c>
      <c r="AP12" s="3">
        <f t="shared" si="11"/>
        <v>6653.5001749999792</v>
      </c>
      <c r="AQ12" s="148">
        <f>+D12+G12+J12+M12+P12+S12+V12+Y12+AB12+AE12+AH12+AK12+AM12</f>
        <v>45940.03942500001</v>
      </c>
    </row>
    <row r="13" spans="1:43" x14ac:dyDescent="0.25">
      <c r="A13" s="34" t="s">
        <v>139</v>
      </c>
      <c r="B13" s="62"/>
      <c r="C13" s="62"/>
      <c r="D13" s="62"/>
      <c r="E13" s="62"/>
      <c r="F13" s="62"/>
      <c r="G13" s="62">
        <f t="shared" si="2"/>
        <v>0</v>
      </c>
      <c r="H13" s="62"/>
      <c r="I13" s="62"/>
      <c r="J13" s="62"/>
      <c r="K13" s="62"/>
      <c r="L13" s="62"/>
      <c r="M13" s="62">
        <f t="shared" si="38"/>
        <v>0</v>
      </c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>
        <f>-'2-REGISTRACIONES'!N115</f>
        <v>7908.96</v>
      </c>
      <c r="AM13" s="62">
        <f>+AL13</f>
        <v>7908.96</v>
      </c>
      <c r="AN13" s="148">
        <f t="shared" si="37"/>
        <v>7908.96</v>
      </c>
      <c r="AO13">
        <v>7908.96</v>
      </c>
      <c r="AP13" s="3">
        <f t="shared" si="11"/>
        <v>0</v>
      </c>
      <c r="AQ13" s="148">
        <f t="shared" si="12"/>
        <v>7908.96</v>
      </c>
    </row>
    <row r="14" spans="1:43" x14ac:dyDescent="0.25">
      <c r="A14" s="34" t="s">
        <v>91</v>
      </c>
      <c r="B14" s="62"/>
      <c r="C14" s="62"/>
      <c r="D14" s="62"/>
      <c r="E14" s="62"/>
      <c r="F14" s="62"/>
      <c r="G14" s="62">
        <f t="shared" si="2"/>
        <v>0</v>
      </c>
      <c r="H14" s="62"/>
      <c r="I14" s="62"/>
      <c r="J14" s="62"/>
      <c r="K14" s="62"/>
      <c r="L14" s="62"/>
      <c r="M14" s="62">
        <f t="shared" si="38"/>
        <v>0</v>
      </c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  <c r="AI14" s="62"/>
      <c r="AJ14" s="62"/>
      <c r="AK14" s="62"/>
      <c r="AL14" s="62">
        <f>-'2-REGISTRACIONES'!N79</f>
        <v>41296.5</v>
      </c>
      <c r="AM14" s="62">
        <f>+AL14</f>
        <v>41296.5</v>
      </c>
      <c r="AN14" s="148">
        <f t="shared" si="37"/>
        <v>41296.5</v>
      </c>
      <c r="AO14">
        <v>41296.5</v>
      </c>
      <c r="AP14" s="3">
        <f t="shared" si="11"/>
        <v>0</v>
      </c>
      <c r="AQ14" s="148">
        <f t="shared" si="12"/>
        <v>41296.5</v>
      </c>
    </row>
    <row r="15" spans="1:43" x14ac:dyDescent="0.25">
      <c r="A15" s="34" t="s">
        <v>92</v>
      </c>
      <c r="B15" s="62"/>
      <c r="C15" s="62"/>
      <c r="D15" s="62"/>
      <c r="E15" s="62"/>
      <c r="F15" s="62"/>
      <c r="G15" s="62">
        <f t="shared" si="2"/>
        <v>0</v>
      </c>
      <c r="H15" s="62"/>
      <c r="I15" s="62"/>
      <c r="J15" s="62"/>
      <c r="K15" s="62"/>
      <c r="L15" s="62"/>
      <c r="M15" s="62">
        <f t="shared" si="38"/>
        <v>0</v>
      </c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>
        <f>-'2-REGISTRACIONES'!N84</f>
        <v>3401</v>
      </c>
      <c r="AM15" s="62">
        <f>+AL15</f>
        <v>3401</v>
      </c>
      <c r="AN15" s="148">
        <f t="shared" si="37"/>
        <v>3401</v>
      </c>
      <c r="AO15">
        <v>3401</v>
      </c>
      <c r="AP15" s="3">
        <f t="shared" si="11"/>
        <v>0</v>
      </c>
      <c r="AQ15" s="148">
        <f t="shared" si="12"/>
        <v>3401</v>
      </c>
    </row>
    <row r="16" spans="1:43" x14ac:dyDescent="0.25">
      <c r="A16" s="34" t="s">
        <v>140</v>
      </c>
      <c r="B16" s="62"/>
      <c r="C16" s="62"/>
      <c r="D16" s="62"/>
      <c r="E16" s="62"/>
      <c r="F16" s="62"/>
      <c r="G16" s="62">
        <f t="shared" si="2"/>
        <v>0</v>
      </c>
      <c r="H16" s="62"/>
      <c r="I16" s="62"/>
      <c r="J16" s="62"/>
      <c r="K16" s="62"/>
      <c r="L16" s="62"/>
      <c r="M16" s="62">
        <f t="shared" si="38"/>
        <v>0</v>
      </c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>
        <f>-'2-REGISTRACIONES'!N110</f>
        <v>3025</v>
      </c>
      <c r="AM16" s="62">
        <f>+AL16</f>
        <v>3025</v>
      </c>
      <c r="AN16" s="148">
        <f t="shared" si="37"/>
        <v>3025</v>
      </c>
      <c r="AO16">
        <v>3025</v>
      </c>
      <c r="AP16" s="3">
        <f t="shared" si="11"/>
        <v>0</v>
      </c>
      <c r="AQ16" s="148">
        <f t="shared" si="12"/>
        <v>3025</v>
      </c>
    </row>
    <row r="17" spans="1:43" s="106" customFormat="1" x14ac:dyDescent="0.25">
      <c r="A17" s="242" t="s">
        <v>143</v>
      </c>
      <c r="B17" s="239">
        <f>SUM(B10:B16)</f>
        <v>0</v>
      </c>
      <c r="C17" s="239">
        <f t="shared" ref="C17:AN17" si="39">SUM(C10:C16)</f>
        <v>0</v>
      </c>
      <c r="D17" s="239">
        <f t="shared" si="39"/>
        <v>0</v>
      </c>
      <c r="E17" s="239">
        <f t="shared" si="39"/>
        <v>4253.1299999999983</v>
      </c>
      <c r="F17" s="239"/>
      <c r="G17" s="239">
        <f t="shared" si="39"/>
        <v>4253.1299999999983</v>
      </c>
      <c r="H17" s="239">
        <f t="shared" si="39"/>
        <v>6182.82</v>
      </c>
      <c r="I17" s="239"/>
      <c r="J17" s="239">
        <f t="shared" si="39"/>
        <v>6182.82</v>
      </c>
      <c r="K17" s="239">
        <f t="shared" si="39"/>
        <v>4656.33</v>
      </c>
      <c r="L17" s="239"/>
      <c r="M17" s="239">
        <f>SUM(M10:M16)</f>
        <v>4656.33</v>
      </c>
      <c r="N17" s="239">
        <f t="shared" si="39"/>
        <v>9211.0199999999986</v>
      </c>
      <c r="O17" s="239"/>
      <c r="P17" s="239">
        <f>SUM(P10:P16)</f>
        <v>9211.0199999999986</v>
      </c>
      <c r="Q17" s="239">
        <f t="shared" si="39"/>
        <v>14235.060000000001</v>
      </c>
      <c r="R17" s="239"/>
      <c r="S17" s="239">
        <f>SUM(S11:S16)</f>
        <v>14235.060000000001</v>
      </c>
      <c r="T17" s="239">
        <f t="shared" si="39"/>
        <v>9102.8700000000026</v>
      </c>
      <c r="U17" s="239"/>
      <c r="V17" s="239">
        <f>SUM(V10:V16)</f>
        <v>9102.8700000000026</v>
      </c>
      <c r="W17" s="239">
        <f t="shared" si="39"/>
        <v>15550.289999999997</v>
      </c>
      <c r="X17" s="239"/>
      <c r="Y17" s="239">
        <f>SUM(Y10:Y16)</f>
        <v>15550.289999999997</v>
      </c>
      <c r="Z17" s="239">
        <f t="shared" si="39"/>
        <v>15017.939999999997</v>
      </c>
      <c r="AA17" s="239"/>
      <c r="AB17" s="239">
        <f>SUM(AB10:AB16)</f>
        <v>15017.939999999997</v>
      </c>
      <c r="AC17" s="239">
        <f t="shared" si="39"/>
        <v>13478.219999999998</v>
      </c>
      <c r="AD17" s="239"/>
      <c r="AE17" s="239">
        <f>SUM(AE10:AE16)</f>
        <v>13478.219999999998</v>
      </c>
      <c r="AF17" s="239">
        <f t="shared" si="39"/>
        <v>14463.329999999996</v>
      </c>
      <c r="AG17" s="239"/>
      <c r="AH17" s="239">
        <f>SUM(AH10:AH16)</f>
        <v>14463.329999999996</v>
      </c>
      <c r="AI17" s="239">
        <f t="shared" si="39"/>
        <v>13327.859999999999</v>
      </c>
      <c r="AJ17" s="239"/>
      <c r="AK17" s="239">
        <f>SUM(AK10:AK16)</f>
        <v>13327.859999999999</v>
      </c>
      <c r="AL17" s="239">
        <f t="shared" si="39"/>
        <v>340735.63817500003</v>
      </c>
      <c r="AM17" s="239">
        <f t="shared" si="39"/>
        <v>290627.80942499998</v>
      </c>
      <c r="AN17" s="150">
        <f t="shared" si="39"/>
        <v>460214.50817500008</v>
      </c>
      <c r="AO17" s="106">
        <v>453561.00800000003</v>
      </c>
      <c r="AP17" s="3">
        <f t="shared" si="11"/>
        <v>6653.500175000052</v>
      </c>
      <c r="AQ17" s="150">
        <f>SUM(AQ10:AQ16)</f>
        <v>410106.6794250001</v>
      </c>
    </row>
    <row r="18" spans="1:43" x14ac:dyDescent="0.25">
      <c r="A18" s="34" t="s">
        <v>73</v>
      </c>
      <c r="B18" s="62">
        <f>-'2-REGISTRACIONES'!B54</f>
        <v>714778</v>
      </c>
      <c r="C18" s="62">
        <f>+C3</f>
        <v>1.25</v>
      </c>
      <c r="D18" s="62">
        <f>+B18*C18</f>
        <v>893472.5</v>
      </c>
      <c r="E18" s="62"/>
      <c r="F18" s="62"/>
      <c r="G18" s="62">
        <f t="shared" si="2"/>
        <v>0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  <c r="AI18" s="62"/>
      <c r="AJ18" s="62"/>
      <c r="AK18" s="62"/>
      <c r="AL18" s="62"/>
      <c r="AM18" s="62"/>
      <c r="AN18" s="148">
        <f>+B18+E18+H18+K18+N18+Q18+T18+W18+Z18+AC18+AF18+AI18+AL18</f>
        <v>714778</v>
      </c>
      <c r="AO18">
        <v>714778</v>
      </c>
      <c r="AP18" s="3">
        <f t="shared" si="11"/>
        <v>0</v>
      </c>
      <c r="AQ18" s="148">
        <f>+B18</f>
        <v>714778</v>
      </c>
    </row>
    <row r="19" spans="1:43" x14ac:dyDescent="0.25">
      <c r="A19" s="34" t="s">
        <v>145</v>
      </c>
      <c r="B19" s="62"/>
      <c r="C19" s="62"/>
      <c r="D19" s="62"/>
      <c r="E19" s="62"/>
      <c r="F19" s="62"/>
      <c r="G19" s="62">
        <f t="shared" si="2"/>
        <v>0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148">
        <f>+B19+E19+H19+K19+N19+Q19+T19+W19+Z19+AC19+AF19+AI19+AL19</f>
        <v>0</v>
      </c>
      <c r="AO19">
        <v>0</v>
      </c>
      <c r="AP19" s="3">
        <f t="shared" si="11"/>
        <v>0</v>
      </c>
      <c r="AQ19" s="148">
        <f>+D18-B18</f>
        <v>178694.5</v>
      </c>
    </row>
    <row r="20" spans="1:43" s="106" customFormat="1" x14ac:dyDescent="0.25">
      <c r="A20" s="243" t="s">
        <v>141</v>
      </c>
      <c r="B20" s="238">
        <f>+B55</f>
        <v>-224800</v>
      </c>
      <c r="C20" s="238"/>
      <c r="D20" s="238">
        <f t="shared" ref="D20" si="40">+D55</f>
        <v>-342594</v>
      </c>
      <c r="E20" s="238">
        <f>+E55</f>
        <v>-12808.661666666667</v>
      </c>
      <c r="F20" s="238"/>
      <c r="G20" s="238">
        <f>+G55</f>
        <v>-13292.722083333338</v>
      </c>
      <c r="H20" s="238">
        <f>+H55</f>
        <v>-2959.1816666666664</v>
      </c>
      <c r="I20" s="238"/>
      <c r="J20" s="238">
        <f>+J55</f>
        <v>-3443.2420833333213</v>
      </c>
      <c r="K20" s="238">
        <f>+K55</f>
        <v>-10241.151666666667</v>
      </c>
      <c r="L20" s="238"/>
      <c r="M20" s="238">
        <f t="shared" ref="M20" si="41">+M55</f>
        <v>-10725.212083333334</v>
      </c>
      <c r="N20" s="238">
        <f>+N55</f>
        <v>10207.818333333335</v>
      </c>
      <c r="O20" s="238"/>
      <c r="P20" s="238">
        <f t="shared" ref="P20" si="42">+P55</f>
        <v>9723.7579166666765</v>
      </c>
      <c r="Q20" s="238">
        <f>+Q55</f>
        <v>34547.758333333339</v>
      </c>
      <c r="R20" s="238"/>
      <c r="S20" s="238">
        <f t="shared" ref="S20" si="43">+S55</f>
        <v>34063.697916666672</v>
      </c>
      <c r="T20" s="238">
        <f>+T55</f>
        <v>-2481.1616666666669</v>
      </c>
      <c r="U20" s="238"/>
      <c r="V20" s="238">
        <f t="shared" ref="V20" si="44">+V55</f>
        <v>-2965.2220833333349</v>
      </c>
      <c r="W20" s="238">
        <f>+W55</f>
        <v>39295.638333333336</v>
      </c>
      <c r="X20" s="238"/>
      <c r="Y20" s="238">
        <f t="shared" ref="Y20" si="45">+Y55</f>
        <v>38811.577916666676</v>
      </c>
      <c r="Z20" s="238">
        <f>+Z55</f>
        <v>32752.958333333332</v>
      </c>
      <c r="AA20" s="238"/>
      <c r="AB20" s="238">
        <f t="shared" ref="AB20" si="46">+AB55</f>
        <v>32268.897916666694</v>
      </c>
      <c r="AC20" s="238">
        <f>+AC55</f>
        <v>25206.418333333331</v>
      </c>
      <c r="AD20" s="238"/>
      <c r="AE20" s="238">
        <f t="shared" ref="AE20" si="47">+AE55</f>
        <v>24722.357916666679</v>
      </c>
      <c r="AF20" s="238">
        <f>+AF55</f>
        <v>42771.378333333341</v>
      </c>
      <c r="AG20" s="238"/>
      <c r="AH20" s="238">
        <f>+AH55</f>
        <v>42942.817916666689</v>
      </c>
      <c r="AI20" s="238">
        <f>+AI55</f>
        <v>156052.36883333334</v>
      </c>
      <c r="AJ20" s="238"/>
      <c r="AK20" s="238">
        <f t="shared" ref="AK20" si="48">+AK55</f>
        <v>159375.30841666672</v>
      </c>
      <c r="AL20" s="238">
        <f>+AL55</f>
        <v>90830.430158333329</v>
      </c>
      <c r="AM20" s="238">
        <f>+AM55</f>
        <v>116429.19849166668</v>
      </c>
      <c r="AN20" s="148">
        <f>+AN55</f>
        <v>178374.61232500005</v>
      </c>
      <c r="AO20" s="106">
        <v>166018.11200000008</v>
      </c>
      <c r="AP20" s="3">
        <f t="shared" si="11"/>
        <v>12356.500324999972</v>
      </c>
      <c r="AQ20" s="148">
        <f>+AQ55</f>
        <v>85317.216075000018</v>
      </c>
    </row>
    <row r="21" spans="1:43" s="106" customFormat="1" x14ac:dyDescent="0.25">
      <c r="A21" s="242" t="s">
        <v>144</v>
      </c>
      <c r="B21" s="239">
        <f>SUM(B18:B20)</f>
        <v>489978</v>
      </c>
      <c r="C21" s="239"/>
      <c r="D21" s="239">
        <f t="shared" ref="D21:G21" si="49">SUM(D18:D20)</f>
        <v>550878.5</v>
      </c>
      <c r="E21" s="239">
        <f t="shared" si="49"/>
        <v>-12808.661666666667</v>
      </c>
      <c r="F21" s="239"/>
      <c r="G21" s="239">
        <f t="shared" si="49"/>
        <v>-13292.722083333338</v>
      </c>
      <c r="H21" s="239">
        <f t="shared" ref="H21:J21" si="50">SUM(H18:H20)</f>
        <v>-2959.1816666666664</v>
      </c>
      <c r="I21" s="239"/>
      <c r="J21" s="239">
        <f t="shared" si="50"/>
        <v>-3443.2420833333213</v>
      </c>
      <c r="K21" s="239">
        <f t="shared" ref="K21:M21" si="51">SUM(K18:K20)</f>
        <v>-10241.151666666667</v>
      </c>
      <c r="L21" s="239"/>
      <c r="M21" s="239">
        <f t="shared" si="51"/>
        <v>-10725.212083333334</v>
      </c>
      <c r="N21" s="239">
        <f t="shared" ref="N21" si="52">SUM(N18:N20)</f>
        <v>10207.818333333335</v>
      </c>
      <c r="O21" s="239"/>
      <c r="P21" s="239">
        <f>SUM(P18:P20)</f>
        <v>9723.7579166666765</v>
      </c>
      <c r="Q21" s="239">
        <f t="shared" ref="Q21" si="53">SUM(Q18:Q20)</f>
        <v>34547.758333333339</v>
      </c>
      <c r="R21" s="239"/>
      <c r="S21" s="239">
        <f>SUM(S18:S20)</f>
        <v>34063.697916666672</v>
      </c>
      <c r="T21" s="239">
        <f t="shared" ref="T21" si="54">SUM(T18:T20)</f>
        <v>-2481.1616666666669</v>
      </c>
      <c r="U21" s="239"/>
      <c r="V21" s="239">
        <f>SUM(V18:V20)</f>
        <v>-2965.2220833333349</v>
      </c>
      <c r="W21" s="239">
        <f t="shared" ref="W21" si="55">SUM(W18:W20)</f>
        <v>39295.638333333336</v>
      </c>
      <c r="X21" s="239"/>
      <c r="Y21" s="239">
        <f>SUM(Y18:Y20)</f>
        <v>38811.577916666676</v>
      </c>
      <c r="Z21" s="239">
        <f t="shared" ref="Z21:AB21" si="56">SUM(Z18:Z20)</f>
        <v>32752.958333333332</v>
      </c>
      <c r="AA21" s="239"/>
      <c r="AB21" s="239">
        <f t="shared" si="56"/>
        <v>32268.897916666694</v>
      </c>
      <c r="AC21" s="239">
        <f t="shared" ref="AC21" si="57">SUM(AC18:AC20)</f>
        <v>25206.418333333331</v>
      </c>
      <c r="AD21" s="239"/>
      <c r="AE21" s="239">
        <f>SUM(AE18:AE20)</f>
        <v>24722.357916666679</v>
      </c>
      <c r="AF21" s="239">
        <f t="shared" ref="AF21" si="58">SUM(AF18:AF20)</f>
        <v>42771.378333333341</v>
      </c>
      <c r="AG21" s="239"/>
      <c r="AH21" s="239">
        <f>SUM(AH18:AH20)</f>
        <v>42942.817916666689</v>
      </c>
      <c r="AI21" s="239">
        <f t="shared" ref="AI21" si="59">SUM(AI18:AI20)</f>
        <v>156052.36883333334</v>
      </c>
      <c r="AJ21" s="239"/>
      <c r="AK21" s="239">
        <f>SUM(AK18:AK20)</f>
        <v>159375.30841666672</v>
      </c>
      <c r="AL21" s="239">
        <f t="shared" ref="AL21:AM21" si="60">SUM(AL18:AL20)</f>
        <v>90830.430158333329</v>
      </c>
      <c r="AM21" s="239">
        <f t="shared" si="60"/>
        <v>116429.19849166668</v>
      </c>
      <c r="AN21" s="150">
        <f t="shared" ref="AN21" si="61">SUM(AN18:AN20)</f>
        <v>893152.61232500011</v>
      </c>
      <c r="AO21" s="106">
        <v>880796.11200000008</v>
      </c>
      <c r="AP21" s="3">
        <f t="shared" si="11"/>
        <v>12356.50032500003</v>
      </c>
      <c r="AQ21" s="148">
        <f>SUM(AQ18:AQ20)</f>
        <v>978789.716075</v>
      </c>
    </row>
    <row r="22" spans="1:43" s="108" customFormat="1" x14ac:dyDescent="0.25">
      <c r="A22" s="244" t="s">
        <v>260</v>
      </c>
      <c r="B22" s="240">
        <f>+B9-B17-B21</f>
        <v>0</v>
      </c>
      <c r="C22" s="240"/>
      <c r="D22" s="240">
        <f t="shared" ref="D22" si="62">+D9-D17-D21</f>
        <v>0</v>
      </c>
      <c r="E22" s="240">
        <f t="shared" ref="E22:G22" si="63">+E9-E17-E21</f>
        <v>0</v>
      </c>
      <c r="F22" s="240"/>
      <c r="G22" s="240">
        <f t="shared" si="63"/>
        <v>0</v>
      </c>
      <c r="H22" s="240">
        <f t="shared" ref="H22:J22" si="64">+H9-H17-H21</f>
        <v>-1.546140993013978E-11</v>
      </c>
      <c r="I22" s="240"/>
      <c r="J22" s="240">
        <f t="shared" si="64"/>
        <v>-2.7284841053187847E-11</v>
      </c>
      <c r="K22" s="240">
        <f t="shared" ref="K22:M22" si="65">+K9-K17-K21</f>
        <v>0</v>
      </c>
      <c r="L22" s="240"/>
      <c r="M22" s="240">
        <f t="shared" si="65"/>
        <v>0</v>
      </c>
      <c r="N22" s="240">
        <f t="shared" ref="N22:P22" si="66">+N9-N17-N21</f>
        <v>0</v>
      </c>
      <c r="O22" s="240"/>
      <c r="P22" s="240">
        <f t="shared" si="66"/>
        <v>-2.0008883439004421E-11</v>
      </c>
      <c r="Q22" s="240">
        <f t="shared" ref="Q22:S22" si="67">+Q9-Q17-Q21</f>
        <v>0</v>
      </c>
      <c r="R22" s="240"/>
      <c r="S22" s="240">
        <f t="shared" si="67"/>
        <v>0</v>
      </c>
      <c r="T22" s="240">
        <f t="shared" ref="T22:V22" si="68">+T9-T17-T21</f>
        <v>0</v>
      </c>
      <c r="U22" s="240"/>
      <c r="V22" s="240">
        <f t="shared" si="68"/>
        <v>0</v>
      </c>
      <c r="W22" s="240">
        <f t="shared" ref="W22:Y22" si="69">+W9-W17-W21</f>
        <v>0</v>
      </c>
      <c r="X22" s="240"/>
      <c r="Y22" s="240">
        <f t="shared" si="69"/>
        <v>0</v>
      </c>
      <c r="Z22" s="240">
        <f t="shared" ref="Z22:AB22" si="70">+Z9-Z17-Z21</f>
        <v>0</v>
      </c>
      <c r="AA22" s="240"/>
      <c r="AB22" s="240">
        <f t="shared" si="70"/>
        <v>0</v>
      </c>
      <c r="AC22" s="240">
        <f t="shared" ref="AC22:AE22" si="71">+AC9-AC17-AC21</f>
        <v>0</v>
      </c>
      <c r="AD22" s="240"/>
      <c r="AE22" s="240">
        <f t="shared" si="71"/>
        <v>0</v>
      </c>
      <c r="AF22" s="240">
        <f t="shared" ref="AF22:AH22" si="72">+AF9-AF17-AF21</f>
        <v>0</v>
      </c>
      <c r="AG22" s="240"/>
      <c r="AH22" s="240">
        <f t="shared" si="72"/>
        <v>0</v>
      </c>
      <c r="AI22" s="240">
        <f t="shared" ref="AI22:AK22" si="73">+AI9-AI17-AI21</f>
        <v>0</v>
      </c>
      <c r="AJ22" s="240"/>
      <c r="AK22" s="240">
        <f t="shared" si="73"/>
        <v>0</v>
      </c>
      <c r="AL22" s="240">
        <f>+AL9-AL17-AL21</f>
        <v>-1.1641532182693481E-10</v>
      </c>
      <c r="AM22" s="247">
        <f>+AM9-AM17-AM21</f>
        <v>0</v>
      </c>
      <c r="AN22" s="155">
        <f t="shared" ref="AN22" si="74">+AN9-AN17-AN21</f>
        <v>0</v>
      </c>
      <c r="AO22" s="154">
        <v>0</v>
      </c>
      <c r="AP22" s="100">
        <f t="shared" si="11"/>
        <v>0</v>
      </c>
      <c r="AQ22" s="153">
        <f>+AQ9-AQ17-AQ21</f>
        <v>0</v>
      </c>
    </row>
    <row r="23" spans="1:43" s="108" customFormat="1" x14ac:dyDescent="0.25">
      <c r="A23" s="245"/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51"/>
      <c r="AP23" s="62"/>
      <c r="AQ23" s="148"/>
    </row>
    <row r="24" spans="1:43" x14ac:dyDescent="0.25">
      <c r="A24" s="34" t="s">
        <v>79</v>
      </c>
      <c r="B24" s="266"/>
      <c r="C24" s="266"/>
      <c r="D24" s="266"/>
      <c r="E24" s="266">
        <f>+'2-REGISTRACIONES'!C$8</f>
        <v>142614</v>
      </c>
      <c r="F24" s="266">
        <f>+'1-COEF REALES'!D22</f>
        <v>1.23</v>
      </c>
      <c r="G24" s="266">
        <f t="shared" ref="G24:G51" si="75">+E24*F24</f>
        <v>175415.22</v>
      </c>
      <c r="H24" s="266">
        <f>+'2-REGISTRACIONES'!D$8</f>
        <v>126198</v>
      </c>
      <c r="I24" s="266">
        <f>+'1-COEF REALES'!D23</f>
        <v>1.2</v>
      </c>
      <c r="J24" s="266">
        <f>+H24*I24</f>
        <v>151437.6</v>
      </c>
      <c r="K24" s="266">
        <f>+'2-REGISTRACIONES'!E$8</f>
        <v>114597</v>
      </c>
      <c r="L24" s="266">
        <f>+'1-COEF REALES'!D24</f>
        <v>1.18</v>
      </c>
      <c r="M24" s="266">
        <f>+K24*L24</f>
        <v>135224.46</v>
      </c>
      <c r="N24" s="266">
        <f>+'2-REGISTRACIONES'!F$8</f>
        <v>147798</v>
      </c>
      <c r="O24" s="266">
        <f>'1-COEF REALES'!D25</f>
        <v>1.1499999999999999</v>
      </c>
      <c r="P24" s="266">
        <f>+N24*O24</f>
        <v>169967.69999999998</v>
      </c>
      <c r="Q24" s="266">
        <f>+'2-REGISTRACIONES'!G$8</f>
        <v>135000</v>
      </c>
      <c r="R24" s="266">
        <f>'1-COEF REALES'!D26</f>
        <v>1.1299999999999999</v>
      </c>
      <c r="S24" s="266">
        <f>+Q24*R24</f>
        <v>152550</v>
      </c>
      <c r="T24" s="266">
        <f>+'2-REGISTRACIONES'!H$8</f>
        <v>165564</v>
      </c>
      <c r="U24" s="266">
        <f>'1-COEF REALES'!D27</f>
        <v>1.1200000000000001</v>
      </c>
      <c r="V24" s="266">
        <f>+T24*U24</f>
        <v>185431.68000000002</v>
      </c>
      <c r="W24" s="266">
        <f>+'2-REGISTRACIONES'!I$8</f>
        <v>190404</v>
      </c>
      <c r="X24" s="266">
        <f>'1-COEF REALES'!D28</f>
        <v>1.1000000000000001</v>
      </c>
      <c r="Y24" s="266">
        <f>+W24*X24</f>
        <v>209444.40000000002</v>
      </c>
      <c r="Z24" s="266">
        <f>+'2-REGISTRACIONES'!J$8</f>
        <v>192960</v>
      </c>
      <c r="AA24" s="266">
        <f>'1-COEF REALES'!D29</f>
        <v>1.08</v>
      </c>
      <c r="AB24" s="266">
        <f t="shared" ref="AB24:AB30" si="76">+Z24*AA24</f>
        <v>208396.80000000002</v>
      </c>
      <c r="AC24" s="266">
        <f>+'2-REGISTRACIONES'!K$8</f>
        <v>197478</v>
      </c>
      <c r="AD24" s="266">
        <f>'1-COEF REALES'!D30</f>
        <v>1.06</v>
      </c>
      <c r="AE24" s="266">
        <f>+AC24*AD24</f>
        <v>209326.68000000002</v>
      </c>
      <c r="AF24" s="266">
        <f>+'2-REGISTRACIONES'!L$8</f>
        <v>202446</v>
      </c>
      <c r="AG24" s="266">
        <f>'1-COEF REALES'!D31</f>
        <v>1.05</v>
      </c>
      <c r="AH24" s="266">
        <f>+AF24*AG24</f>
        <v>212568.30000000002</v>
      </c>
      <c r="AI24" s="266">
        <f>+'2-REGISTRACIONES'!M$8</f>
        <v>214461</v>
      </c>
      <c r="AJ24" s="266">
        <f>'1-COEF REALES'!D32</f>
        <v>1.03</v>
      </c>
      <c r="AK24" s="266">
        <f>+AI24*AJ24</f>
        <v>220894.83000000002</v>
      </c>
      <c r="AL24" s="266">
        <f>+'2-REGISTRACIONES'!N$8</f>
        <v>247032</v>
      </c>
      <c r="AM24" s="266">
        <f>+AL24</f>
        <v>247032</v>
      </c>
      <c r="AN24" s="148">
        <f t="shared" ref="AN24:AN51" si="77">+B24+E24+H24+K24+N24+Q24+T24+W24+Z24+AC24+AF24+AI24+AL24</f>
        <v>2076552</v>
      </c>
      <c r="AO24">
        <v>2076552</v>
      </c>
      <c r="AP24" s="3">
        <f t="shared" si="11"/>
        <v>0</v>
      </c>
      <c r="AQ24" s="148">
        <f t="shared" ref="AQ24:AQ52" si="78">+D24+G24+J24+M24+P24+S24+V24+Y24+AB24+AE24+AH24+AK24+AM24</f>
        <v>2277689.67</v>
      </c>
    </row>
    <row r="25" spans="1:43" x14ac:dyDescent="0.25">
      <c r="A25" s="246" t="s">
        <v>2</v>
      </c>
      <c r="B25" s="265">
        <f>-'2-REGISTRACIONES'!B50</f>
        <v>-224800</v>
      </c>
      <c r="C25" s="266">
        <f>+C3</f>
        <v>1.25</v>
      </c>
      <c r="D25" s="266">
        <f>+B25*C25</f>
        <v>-281000</v>
      </c>
      <c r="E25" s="266">
        <f>'3-CMV HIST'!E22</f>
        <v>-85500</v>
      </c>
      <c r="F25" s="266">
        <f>+F24</f>
        <v>1.23</v>
      </c>
      <c r="G25" s="266">
        <f t="shared" si="75"/>
        <v>-105165</v>
      </c>
      <c r="H25" s="266">
        <f>+'3-CMV HIST'!E23</f>
        <v>-74100</v>
      </c>
      <c r="I25" s="266">
        <f>$I$24</f>
        <v>1.2</v>
      </c>
      <c r="J25" s="266">
        <f t="shared" ref="J25:J51" si="79">+H25*I25</f>
        <v>-88920</v>
      </c>
      <c r="K25" s="266">
        <f>+'3-CMV HIST'!E24</f>
        <v>-71400</v>
      </c>
      <c r="L25" s="266">
        <f>$L$24</f>
        <v>1.18</v>
      </c>
      <c r="M25" s="266">
        <f t="shared" ref="M25:M51" si="80">+K25*L25</f>
        <v>-84252</v>
      </c>
      <c r="N25" s="266">
        <f>+'3-CMV HIST'!E25</f>
        <v>-83300</v>
      </c>
      <c r="O25" s="266">
        <f>$O$24</f>
        <v>1.1499999999999999</v>
      </c>
      <c r="P25" s="266">
        <f t="shared" ref="P25:P51" si="81">+N25*O25</f>
        <v>-95794.999999999985</v>
      </c>
      <c r="Q25" s="266">
        <f>+'3-CMV HIST'!E26</f>
        <v>-48000</v>
      </c>
      <c r="R25" s="266">
        <f>$R$24</f>
        <v>1.1299999999999999</v>
      </c>
      <c r="S25" s="266">
        <f>+Q25*R25</f>
        <v>-54239.999999999993</v>
      </c>
      <c r="T25" s="266">
        <f>+'3-CMV HIST'!E27</f>
        <v>-100800</v>
      </c>
      <c r="U25" s="266">
        <f>$U$24</f>
        <v>1.1200000000000001</v>
      </c>
      <c r="V25" s="266">
        <f t="shared" ref="V25:V51" si="82">+T25*U25</f>
        <v>-112896.00000000001</v>
      </c>
      <c r="W25" s="266">
        <f>+'3-CMV HIST'!E28</f>
        <v>-96750</v>
      </c>
      <c r="X25" s="266">
        <f>$X$24</f>
        <v>1.1000000000000001</v>
      </c>
      <c r="Y25" s="266">
        <f t="shared" ref="Y25:Y51" si="83">+W25*X25</f>
        <v>-106425.00000000001</v>
      </c>
      <c r="Z25" s="266">
        <f>+'3-CMV HIST'!E29</f>
        <v>-100500</v>
      </c>
      <c r="AA25" s="266">
        <f>$AA$24</f>
        <v>1.08</v>
      </c>
      <c r="AB25" s="266">
        <f t="shared" si="76"/>
        <v>-108540</v>
      </c>
      <c r="AC25" s="266">
        <f>+'3-CMV HIST'!E30</f>
        <v>-110400</v>
      </c>
      <c r="AD25" s="266">
        <f>$AD$24</f>
        <v>1.06</v>
      </c>
      <c r="AE25" s="266">
        <f t="shared" ref="AE25:AE51" si="84">+AC25*AD25</f>
        <v>-117024</v>
      </c>
      <c r="AF25" s="266">
        <f>+'3-CMV HIST'!E31</f>
        <v>-97290</v>
      </c>
      <c r="AG25" s="266">
        <f>$AG$24</f>
        <v>1.05</v>
      </c>
      <c r="AH25" s="266">
        <f t="shared" ref="AH25:AH51" si="85">+AF25*AG25</f>
        <v>-102154.5</v>
      </c>
      <c r="AI25" s="266"/>
      <c r="AJ25" s="266"/>
      <c r="AK25" s="266">
        <f t="shared" ref="AK25:AK51" si="86">+AI25*AJ25</f>
        <v>0</v>
      </c>
      <c r="AL25" s="266">
        <f>-AL30</f>
        <v>-172543.14999999991</v>
      </c>
      <c r="AM25" s="266">
        <f>-AM30</f>
        <v>-8971.6499999999069</v>
      </c>
      <c r="AN25" s="148">
        <f t="shared" si="77"/>
        <v>-1265383.1499999999</v>
      </c>
      <c r="AO25">
        <v>-1092840</v>
      </c>
      <c r="AP25" s="3">
        <f t="shared" si="11"/>
        <v>-172543.14999999991</v>
      </c>
      <c r="AQ25" s="148">
        <f t="shared" si="78"/>
        <v>-1265383.1499999999</v>
      </c>
    </row>
    <row r="26" spans="1:43" x14ac:dyDescent="0.25">
      <c r="A26" s="246" t="s">
        <v>149</v>
      </c>
      <c r="B26" s="266"/>
      <c r="C26" s="266"/>
      <c r="D26" s="266"/>
      <c r="E26" s="266"/>
      <c r="F26" s="266"/>
      <c r="G26" s="266">
        <f t="shared" si="75"/>
        <v>0</v>
      </c>
      <c r="H26" s="266"/>
      <c r="I26" s="266"/>
      <c r="J26" s="266">
        <f t="shared" si="79"/>
        <v>0</v>
      </c>
      <c r="K26" s="266"/>
      <c r="L26" s="266"/>
      <c r="M26" s="266">
        <f t="shared" si="80"/>
        <v>0</v>
      </c>
      <c r="N26" s="266"/>
      <c r="O26" s="266"/>
      <c r="P26" s="266">
        <f t="shared" si="81"/>
        <v>0</v>
      </c>
      <c r="Q26" s="266"/>
      <c r="R26" s="266"/>
      <c r="S26" s="266"/>
      <c r="T26" s="266"/>
      <c r="U26" s="266"/>
      <c r="V26" s="266">
        <f t="shared" si="82"/>
        <v>0</v>
      </c>
      <c r="W26" s="266"/>
      <c r="X26" s="266"/>
      <c r="Y26" s="266">
        <f t="shared" si="83"/>
        <v>0</v>
      </c>
      <c r="Z26" s="266"/>
      <c r="AA26" s="266"/>
      <c r="AB26" s="266">
        <f t="shared" si="76"/>
        <v>0</v>
      </c>
      <c r="AC26" s="266"/>
      <c r="AD26" s="266"/>
      <c r="AE26" s="266">
        <f t="shared" si="84"/>
        <v>0</v>
      </c>
      <c r="AF26" s="266"/>
      <c r="AG26" s="266"/>
      <c r="AH26" s="266">
        <f t="shared" si="85"/>
        <v>0</v>
      </c>
      <c r="AI26" s="266"/>
      <c r="AJ26" s="266"/>
      <c r="AK26" s="266">
        <f t="shared" si="86"/>
        <v>0</v>
      </c>
      <c r="AL26" s="266">
        <f>'5-BALANCES Y CALCULOS'!H4</f>
        <v>13750</v>
      </c>
      <c r="AM26" s="266">
        <f>+'5-BALANCES Y CALCULOS'!K3</f>
        <v>-5812.5</v>
      </c>
      <c r="AN26" s="148">
        <f t="shared" si="77"/>
        <v>13750</v>
      </c>
      <c r="AO26">
        <v>0</v>
      </c>
      <c r="AP26" s="3">
        <f t="shared" si="11"/>
        <v>13750</v>
      </c>
      <c r="AQ26" s="148">
        <f>+AM26</f>
        <v>-5812.5</v>
      </c>
    </row>
    <row r="27" spans="1:43" x14ac:dyDescent="0.25">
      <c r="A27" s="34" t="s">
        <v>150</v>
      </c>
      <c r="B27" s="266"/>
      <c r="C27" s="266"/>
      <c r="D27" s="266"/>
      <c r="E27" s="266"/>
      <c r="F27" s="266"/>
      <c r="G27" s="266">
        <f t="shared" si="75"/>
        <v>0</v>
      </c>
      <c r="H27" s="266"/>
      <c r="I27" s="266"/>
      <c r="J27" s="266">
        <f t="shared" si="79"/>
        <v>0</v>
      </c>
      <c r="K27" s="266"/>
      <c r="L27" s="266"/>
      <c r="M27" s="266">
        <f t="shared" si="80"/>
        <v>0</v>
      </c>
      <c r="N27" s="266"/>
      <c r="O27" s="266"/>
      <c r="P27" s="266">
        <f t="shared" si="81"/>
        <v>0</v>
      </c>
      <c r="Q27" s="266"/>
      <c r="R27" s="266"/>
      <c r="S27" s="266"/>
      <c r="T27" s="266"/>
      <c r="U27" s="266"/>
      <c r="V27" s="266">
        <f t="shared" si="82"/>
        <v>0</v>
      </c>
      <c r="W27" s="266"/>
      <c r="X27" s="266"/>
      <c r="Y27" s="266">
        <f t="shared" si="83"/>
        <v>0</v>
      </c>
      <c r="Z27" s="266"/>
      <c r="AA27" s="266"/>
      <c r="AB27" s="266">
        <f t="shared" si="76"/>
        <v>0</v>
      </c>
      <c r="AC27" s="266"/>
      <c r="AD27" s="266"/>
      <c r="AE27" s="266">
        <f t="shared" si="84"/>
        <v>0</v>
      </c>
      <c r="AF27" s="266"/>
      <c r="AG27" s="266"/>
      <c r="AH27" s="266">
        <f t="shared" si="85"/>
        <v>0</v>
      </c>
      <c r="AI27" s="266">
        <f>-'2-REGISTRACIONES'!M66</f>
        <v>12974.8905</v>
      </c>
      <c r="AJ27" s="266"/>
      <c r="AK27" s="266">
        <f>+AK71</f>
        <v>6541.0604999999923</v>
      </c>
      <c r="AL27" s="266"/>
      <c r="AM27" s="266"/>
      <c r="AN27" s="148">
        <f t="shared" si="77"/>
        <v>12974.8905</v>
      </c>
      <c r="AO27">
        <v>12974.89</v>
      </c>
      <c r="AP27" s="3">
        <f t="shared" si="11"/>
        <v>5.0000000010186341E-4</v>
      </c>
      <c r="AQ27" s="148">
        <f t="shared" si="78"/>
        <v>6541.0604999999923</v>
      </c>
    </row>
    <row r="28" spans="1:43" x14ac:dyDescent="0.25">
      <c r="A28" s="34" t="s">
        <v>152</v>
      </c>
      <c r="B28" s="266"/>
      <c r="C28" s="266"/>
      <c r="D28" s="266"/>
      <c r="E28" s="266"/>
      <c r="F28" s="266"/>
      <c r="G28" s="266">
        <f t="shared" si="75"/>
        <v>0</v>
      </c>
      <c r="H28" s="266"/>
      <c r="I28" s="266"/>
      <c r="J28" s="266">
        <f t="shared" si="79"/>
        <v>0</v>
      </c>
      <c r="K28" s="266"/>
      <c r="L28" s="266"/>
      <c r="M28" s="266">
        <f t="shared" si="80"/>
        <v>0</v>
      </c>
      <c r="N28" s="266"/>
      <c r="O28" s="266"/>
      <c r="P28" s="266">
        <f t="shared" si="81"/>
        <v>0</v>
      </c>
      <c r="Q28" s="266"/>
      <c r="R28" s="266"/>
      <c r="S28" s="266"/>
      <c r="T28" s="266"/>
      <c r="U28" s="266"/>
      <c r="V28" s="266">
        <f t="shared" si="82"/>
        <v>0</v>
      </c>
      <c r="W28" s="266"/>
      <c r="X28" s="266"/>
      <c r="Y28" s="266">
        <f t="shared" si="83"/>
        <v>0</v>
      </c>
      <c r="Z28" s="266"/>
      <c r="AA28" s="266"/>
      <c r="AB28" s="266">
        <f t="shared" si="76"/>
        <v>0</v>
      </c>
      <c r="AC28" s="266"/>
      <c r="AD28" s="266"/>
      <c r="AE28" s="266">
        <f t="shared" si="84"/>
        <v>0</v>
      </c>
      <c r="AF28" s="266"/>
      <c r="AG28" s="266"/>
      <c r="AH28" s="266">
        <f t="shared" si="85"/>
        <v>0</v>
      </c>
      <c r="AI28" s="266">
        <f>-'2-REGISTRACIONES'!M60</f>
        <v>-7677.45</v>
      </c>
      <c r="AJ28" s="266">
        <f>$AJ$24</f>
        <v>1.03</v>
      </c>
      <c r="AK28" s="266">
        <f t="shared" si="86"/>
        <v>-7907.7735000000002</v>
      </c>
      <c r="AL28" s="266"/>
      <c r="AM28" s="266"/>
      <c r="AN28" s="148">
        <f t="shared" si="77"/>
        <v>-7677.45</v>
      </c>
      <c r="AO28">
        <v>-7677.45</v>
      </c>
      <c r="AP28" s="3">
        <f t="shared" si="11"/>
        <v>0</v>
      </c>
      <c r="AQ28" s="148">
        <f t="shared" si="78"/>
        <v>-7907.7735000000002</v>
      </c>
    </row>
    <row r="29" spans="1:43" x14ac:dyDescent="0.25">
      <c r="A29" s="34" t="s">
        <v>151</v>
      </c>
      <c r="B29" s="266"/>
      <c r="C29" s="266"/>
      <c r="D29" s="266"/>
      <c r="E29" s="266"/>
      <c r="F29" s="266"/>
      <c r="G29" s="266">
        <f t="shared" si="75"/>
        <v>0</v>
      </c>
      <c r="H29" s="266"/>
      <c r="I29" s="266"/>
      <c r="J29" s="266">
        <f t="shared" si="79"/>
        <v>0</v>
      </c>
      <c r="K29" s="266"/>
      <c r="L29" s="266"/>
      <c r="M29" s="266">
        <f t="shared" si="80"/>
        <v>0</v>
      </c>
      <c r="N29" s="266"/>
      <c r="O29" s="266"/>
      <c r="P29" s="266">
        <f t="shared" si="81"/>
        <v>0</v>
      </c>
      <c r="Q29" s="266"/>
      <c r="R29" s="266"/>
      <c r="S29" s="266"/>
      <c r="T29" s="266"/>
      <c r="U29" s="266"/>
      <c r="V29" s="266">
        <f t="shared" si="82"/>
        <v>0</v>
      </c>
      <c r="W29" s="266"/>
      <c r="X29" s="266"/>
      <c r="Y29" s="266">
        <f t="shared" si="83"/>
        <v>0</v>
      </c>
      <c r="Z29" s="266"/>
      <c r="AA29" s="266"/>
      <c r="AB29" s="266">
        <f t="shared" si="76"/>
        <v>0</v>
      </c>
      <c r="AC29" s="266"/>
      <c r="AD29" s="266"/>
      <c r="AE29" s="266">
        <f t="shared" si="84"/>
        <v>0</v>
      </c>
      <c r="AF29" s="266"/>
      <c r="AG29" s="266"/>
      <c r="AH29" s="266">
        <f t="shared" si="85"/>
        <v>0</v>
      </c>
      <c r="AI29" s="266"/>
      <c r="AJ29" s="266"/>
      <c r="AK29" s="266">
        <f t="shared" si="86"/>
        <v>0</v>
      </c>
      <c r="AL29" s="266">
        <f>+'5-BALANCES Y CALCULOS'!H11</f>
        <v>5260</v>
      </c>
      <c r="AM29" s="266">
        <f>+'5-BALANCES Y CALCULOS'!K10</f>
        <v>797.5</v>
      </c>
      <c r="AN29" s="148">
        <f t="shared" si="77"/>
        <v>5260</v>
      </c>
      <c r="AO29">
        <v>0</v>
      </c>
      <c r="AP29" s="3">
        <f t="shared" si="11"/>
        <v>5260</v>
      </c>
      <c r="AQ29" s="148">
        <f>+AM29</f>
        <v>797.5</v>
      </c>
    </row>
    <row r="30" spans="1:43" x14ac:dyDescent="0.25">
      <c r="A30" s="34" t="s">
        <v>4</v>
      </c>
      <c r="B30" s="266"/>
      <c r="C30" s="266"/>
      <c r="D30" s="266"/>
      <c r="E30" s="266"/>
      <c r="F30" s="266"/>
      <c r="G30" s="266">
        <f t="shared" si="75"/>
        <v>0</v>
      </c>
      <c r="H30" s="266"/>
      <c r="I30" s="266"/>
      <c r="J30" s="266">
        <f t="shared" si="79"/>
        <v>0</v>
      </c>
      <c r="K30" s="266"/>
      <c r="L30" s="266"/>
      <c r="M30" s="266">
        <f t="shared" si="80"/>
        <v>0</v>
      </c>
      <c r="N30" s="266"/>
      <c r="O30" s="266"/>
      <c r="P30" s="266">
        <f t="shared" si="81"/>
        <v>0</v>
      </c>
      <c r="Q30" s="266"/>
      <c r="R30" s="266"/>
      <c r="S30" s="266"/>
      <c r="T30" s="266"/>
      <c r="U30" s="266"/>
      <c r="V30" s="266">
        <f t="shared" si="82"/>
        <v>0</v>
      </c>
      <c r="W30" s="266"/>
      <c r="X30" s="266"/>
      <c r="Y30" s="266">
        <f t="shared" si="83"/>
        <v>0</v>
      </c>
      <c r="Z30" s="266"/>
      <c r="AA30" s="266"/>
      <c r="AB30" s="266">
        <f t="shared" si="76"/>
        <v>0</v>
      </c>
      <c r="AC30" s="266"/>
      <c r="AD30" s="266"/>
      <c r="AE30" s="266">
        <f t="shared" si="84"/>
        <v>0</v>
      </c>
      <c r="AF30" s="266"/>
      <c r="AG30" s="266"/>
      <c r="AH30" s="266">
        <f t="shared" si="85"/>
        <v>0</v>
      </c>
      <c r="AI30" s="266"/>
      <c r="AJ30" s="266"/>
      <c r="AK30" s="266">
        <f t="shared" si="86"/>
        <v>0</v>
      </c>
      <c r="AL30" s="266">
        <f>+'5-BALANCES Y CALCULOS'!H37</f>
        <v>172543.14999999991</v>
      </c>
      <c r="AM30" s="266">
        <f>+'5-BALANCES Y CALCULOS'!K36</f>
        <v>8971.6499999999069</v>
      </c>
      <c r="AN30" s="148">
        <f t="shared" si="77"/>
        <v>172543.14999999991</v>
      </c>
      <c r="AO30">
        <v>0</v>
      </c>
      <c r="AP30" s="3">
        <f t="shared" si="11"/>
        <v>172543.14999999991</v>
      </c>
      <c r="AQ30" s="148">
        <f>+AM30</f>
        <v>8971.6499999999069</v>
      </c>
    </row>
    <row r="31" spans="1:43" x14ac:dyDescent="0.25">
      <c r="A31" s="34" t="s">
        <v>153</v>
      </c>
      <c r="B31" s="266"/>
      <c r="C31" s="266"/>
      <c r="D31" s="266"/>
      <c r="E31" s="266">
        <f>-'2-REGISTRACIONES'!C$117</f>
        <v>-1850</v>
      </c>
      <c r="F31" s="266">
        <f>$F$24</f>
        <v>1.23</v>
      </c>
      <c r="G31" s="266">
        <f t="shared" si="75"/>
        <v>-2275.5</v>
      </c>
      <c r="H31" s="266">
        <f>-'2-REGISTRACIONES'!D$117</f>
        <v>-2350</v>
      </c>
      <c r="I31" s="266">
        <f t="shared" ref="I31:I48" si="87">$I$24</f>
        <v>1.2</v>
      </c>
      <c r="J31" s="266">
        <f t="shared" si="79"/>
        <v>-2820</v>
      </c>
      <c r="K31" s="266">
        <f>-'2-REGISTRACIONES'!E$117</f>
        <v>-2001</v>
      </c>
      <c r="L31" s="266">
        <f t="shared" ref="L31:L48" si="88">$L$24</f>
        <v>1.18</v>
      </c>
      <c r="M31" s="266">
        <f t="shared" si="80"/>
        <v>-2361.1799999999998</v>
      </c>
      <c r="N31" s="266">
        <f>-'2-REGISTRACIONES'!F$117</f>
        <v>-1953</v>
      </c>
      <c r="O31" s="266">
        <f t="shared" ref="O31:O48" si="89">$O$24</f>
        <v>1.1499999999999999</v>
      </c>
      <c r="P31" s="266">
        <f t="shared" si="81"/>
        <v>-2245.9499999999998</v>
      </c>
      <c r="Q31" s="266">
        <f>-'2-REGISTRACIONES'!G$117</f>
        <v>-2167</v>
      </c>
      <c r="R31" s="266">
        <f t="shared" ref="R31:R48" si="90">$R$24</f>
        <v>1.1299999999999999</v>
      </c>
      <c r="S31" s="266">
        <f>+Q31*R31</f>
        <v>-2448.7099999999996</v>
      </c>
      <c r="T31" s="266">
        <f>-'2-REGISTRACIONES'!H$117</f>
        <v>-2350</v>
      </c>
      <c r="U31" s="266">
        <f t="shared" ref="U31:U48" si="91">$U$24</f>
        <v>1.1200000000000001</v>
      </c>
      <c r="V31" s="266">
        <f t="shared" si="82"/>
        <v>-2632.0000000000005</v>
      </c>
      <c r="W31" s="266">
        <f>-'2-REGISTRACIONES'!I$117</f>
        <v>-1860</v>
      </c>
      <c r="X31" s="266">
        <f t="shared" ref="X31:X48" si="92">$X$24</f>
        <v>1.1000000000000001</v>
      </c>
      <c r="Y31" s="266">
        <f t="shared" si="83"/>
        <v>-2046.0000000000002</v>
      </c>
      <c r="Z31" s="266">
        <f>-'2-REGISTRACIONES'!J$117</f>
        <v>-2435</v>
      </c>
      <c r="AA31" s="266">
        <f t="shared" ref="AA31:AA48" si="93">$AA$24</f>
        <v>1.08</v>
      </c>
      <c r="AB31" s="266">
        <f>+Z31*AA31</f>
        <v>-2629.8</v>
      </c>
      <c r="AC31" s="266">
        <f>-'2-REGISTRACIONES'!K$117</f>
        <v>-2567</v>
      </c>
      <c r="AD31" s="266">
        <f t="shared" ref="AD31:AD48" si="94">$AD$24</f>
        <v>1.06</v>
      </c>
      <c r="AE31" s="266">
        <f t="shared" si="84"/>
        <v>-2721.02</v>
      </c>
      <c r="AF31" s="266">
        <f>-'2-REGISTRACIONES'!L$117</f>
        <v>-2633</v>
      </c>
      <c r="AG31" s="266">
        <f t="shared" ref="AG31:AG48" si="95">$AG$24</f>
        <v>1.05</v>
      </c>
      <c r="AH31" s="266">
        <f t="shared" si="85"/>
        <v>-2764.65</v>
      </c>
      <c r="AI31" s="266">
        <f>-'2-REGISTRACIONES'!M$117</f>
        <v>-2756</v>
      </c>
      <c r="AJ31" s="266">
        <f t="shared" ref="AJ31:AJ48" si="96">$AJ$24</f>
        <v>1.03</v>
      </c>
      <c r="AK31" s="266">
        <f t="shared" si="86"/>
        <v>-2838.6800000000003</v>
      </c>
      <c r="AL31" s="266">
        <f>-'2-REGISTRACIONES'!N$117</f>
        <v>-2890</v>
      </c>
      <c r="AM31" s="266">
        <f>+AL31</f>
        <v>-2890</v>
      </c>
      <c r="AN31" s="148">
        <f t="shared" si="77"/>
        <v>-27812</v>
      </c>
      <c r="AO31">
        <v>-27812</v>
      </c>
      <c r="AP31" s="3">
        <f t="shared" si="11"/>
        <v>0</v>
      </c>
      <c r="AQ31" s="148">
        <f t="shared" si="78"/>
        <v>-30673.49</v>
      </c>
    </row>
    <row r="32" spans="1:43" x14ac:dyDescent="0.25">
      <c r="A32" s="34" t="s">
        <v>146</v>
      </c>
      <c r="B32" s="266"/>
      <c r="C32" s="266"/>
      <c r="D32" s="266"/>
      <c r="E32" s="266">
        <f>-'2-REGISTRACIONES'!C$70</f>
        <v>-8000</v>
      </c>
      <c r="F32" s="266">
        <f t="shared" ref="F32:F48" si="97">$F$24</f>
        <v>1.23</v>
      </c>
      <c r="G32" s="266">
        <f t="shared" si="75"/>
        <v>-9840</v>
      </c>
      <c r="H32" s="266">
        <f>-'2-REGISTRACIONES'!D$70</f>
        <v>-8000</v>
      </c>
      <c r="I32" s="266">
        <f t="shared" si="87"/>
        <v>1.2</v>
      </c>
      <c r="J32" s="266">
        <f t="shared" si="79"/>
        <v>-9600</v>
      </c>
      <c r="K32" s="266">
        <f>-'2-REGISTRACIONES'!E$70</f>
        <v>-8000</v>
      </c>
      <c r="L32" s="266">
        <f t="shared" si="88"/>
        <v>1.18</v>
      </c>
      <c r="M32" s="266">
        <f t="shared" si="80"/>
        <v>-9440</v>
      </c>
      <c r="N32" s="266">
        <f>-'2-REGISTRACIONES'!F$70</f>
        <v>-8000</v>
      </c>
      <c r="O32" s="266">
        <f t="shared" si="89"/>
        <v>1.1499999999999999</v>
      </c>
      <c r="P32" s="266">
        <f t="shared" si="81"/>
        <v>-9200</v>
      </c>
      <c r="Q32" s="266">
        <f>-'2-REGISTRACIONES'!G$70</f>
        <v>-8000</v>
      </c>
      <c r="R32" s="266">
        <f t="shared" si="90"/>
        <v>1.1299999999999999</v>
      </c>
      <c r="S32" s="266">
        <f t="shared" ref="S32:S51" si="98">+Q32*R32</f>
        <v>-9040</v>
      </c>
      <c r="T32" s="266">
        <f>-'2-REGISTRACIONES'!H$70</f>
        <v>-8000</v>
      </c>
      <c r="U32" s="266">
        <f t="shared" si="91"/>
        <v>1.1200000000000001</v>
      </c>
      <c r="V32" s="266">
        <f t="shared" si="82"/>
        <v>-8960</v>
      </c>
      <c r="W32" s="266">
        <f>-'2-REGISTRACIONES'!I$70</f>
        <v>-8800</v>
      </c>
      <c r="X32" s="266">
        <f t="shared" si="92"/>
        <v>1.1000000000000001</v>
      </c>
      <c r="Y32" s="266">
        <f t="shared" si="83"/>
        <v>-9680</v>
      </c>
      <c r="Z32" s="266">
        <f>-'2-REGISTRACIONES'!J$70</f>
        <v>-8800</v>
      </c>
      <c r="AA32" s="266">
        <f t="shared" si="93"/>
        <v>1.08</v>
      </c>
      <c r="AB32" s="266">
        <f t="shared" ref="AB32:AB51" si="99">+Z32*AA32</f>
        <v>-9504</v>
      </c>
      <c r="AC32" s="266">
        <f>-'2-REGISTRACIONES'!K$70</f>
        <v>-8800</v>
      </c>
      <c r="AD32" s="266">
        <f t="shared" si="94"/>
        <v>1.06</v>
      </c>
      <c r="AE32" s="266">
        <f t="shared" si="84"/>
        <v>-9328</v>
      </c>
      <c r="AF32" s="266">
        <f>-'2-REGISTRACIONES'!L$70</f>
        <v>-8800</v>
      </c>
      <c r="AG32" s="266">
        <f t="shared" si="95"/>
        <v>1.05</v>
      </c>
      <c r="AH32" s="266">
        <f t="shared" si="85"/>
        <v>-9240</v>
      </c>
      <c r="AI32" s="266">
        <f>-'2-REGISTRACIONES'!M$70</f>
        <v>-8800</v>
      </c>
      <c r="AJ32" s="266">
        <f t="shared" si="96"/>
        <v>1.03</v>
      </c>
      <c r="AK32" s="266">
        <f t="shared" si="86"/>
        <v>-9064</v>
      </c>
      <c r="AL32" s="266">
        <f>-'2-REGISTRACIONES'!N$70</f>
        <v>-8800</v>
      </c>
      <c r="AM32" s="266">
        <f t="shared" ref="AM32:AM48" si="100">+AL32</f>
        <v>-8800</v>
      </c>
      <c r="AN32" s="148">
        <f t="shared" si="77"/>
        <v>-100800</v>
      </c>
      <c r="AO32">
        <v>-100800</v>
      </c>
      <c r="AP32" s="3">
        <f t="shared" si="11"/>
        <v>0</v>
      </c>
      <c r="AQ32" s="148">
        <f t="shared" si="78"/>
        <v>-111696</v>
      </c>
    </row>
    <row r="33" spans="1:43" x14ac:dyDescent="0.25">
      <c r="A33" s="34" t="s">
        <v>154</v>
      </c>
      <c r="B33" s="266"/>
      <c r="C33" s="266"/>
      <c r="D33" s="266"/>
      <c r="E33" s="266">
        <f>-'2-REGISTRACIONES'!C$125</f>
        <v>-150</v>
      </c>
      <c r="F33" s="266">
        <f t="shared" si="97"/>
        <v>1.23</v>
      </c>
      <c r="G33" s="266">
        <f t="shared" si="75"/>
        <v>-184.5</v>
      </c>
      <c r="H33" s="266">
        <f>-'2-REGISTRACIONES'!D$125</f>
        <v>-150</v>
      </c>
      <c r="I33" s="266">
        <f t="shared" si="87"/>
        <v>1.2</v>
      </c>
      <c r="J33" s="266">
        <f t="shared" si="79"/>
        <v>-180</v>
      </c>
      <c r="K33" s="266">
        <f>-'2-REGISTRACIONES'!E$125</f>
        <v>-150</v>
      </c>
      <c r="L33" s="266">
        <f t="shared" si="88"/>
        <v>1.18</v>
      </c>
      <c r="M33" s="266">
        <f t="shared" si="80"/>
        <v>-177</v>
      </c>
      <c r="N33" s="266">
        <f>-'2-REGISTRACIONES'!F$125</f>
        <v>-150</v>
      </c>
      <c r="O33" s="266">
        <f t="shared" si="89"/>
        <v>1.1499999999999999</v>
      </c>
      <c r="P33" s="266">
        <f t="shared" si="81"/>
        <v>-172.5</v>
      </c>
      <c r="Q33" s="266">
        <f>-'2-REGISTRACIONES'!G$125</f>
        <v>-150</v>
      </c>
      <c r="R33" s="266">
        <f t="shared" si="90"/>
        <v>1.1299999999999999</v>
      </c>
      <c r="S33" s="266">
        <f t="shared" si="98"/>
        <v>-169.49999999999997</v>
      </c>
      <c r="T33" s="266">
        <f>-'2-REGISTRACIONES'!H$125</f>
        <v>-150</v>
      </c>
      <c r="U33" s="266">
        <f t="shared" si="91"/>
        <v>1.1200000000000001</v>
      </c>
      <c r="V33" s="266">
        <f t="shared" si="82"/>
        <v>-168.00000000000003</v>
      </c>
      <c r="W33" s="266">
        <f>-'2-REGISTRACIONES'!I$125</f>
        <v>-150</v>
      </c>
      <c r="X33" s="266">
        <f t="shared" si="92"/>
        <v>1.1000000000000001</v>
      </c>
      <c r="Y33" s="266">
        <f t="shared" si="83"/>
        <v>-165</v>
      </c>
      <c r="Z33" s="266">
        <f>-'2-REGISTRACIONES'!J$125</f>
        <v>-150</v>
      </c>
      <c r="AA33" s="266">
        <f t="shared" si="93"/>
        <v>1.08</v>
      </c>
      <c r="AB33" s="266">
        <f t="shared" si="99"/>
        <v>-162</v>
      </c>
      <c r="AC33" s="266">
        <f>-'2-REGISTRACIONES'!K$125</f>
        <v>-180</v>
      </c>
      <c r="AD33" s="266">
        <f t="shared" si="94"/>
        <v>1.06</v>
      </c>
      <c r="AE33" s="266">
        <f t="shared" si="84"/>
        <v>-190.8</v>
      </c>
      <c r="AF33" s="266">
        <f>-'2-REGISTRACIONES'!L$125</f>
        <v>-180</v>
      </c>
      <c r="AG33" s="266">
        <f t="shared" si="95"/>
        <v>1.05</v>
      </c>
      <c r="AH33" s="266">
        <f t="shared" si="85"/>
        <v>-189</v>
      </c>
      <c r="AI33" s="266">
        <f>-'2-REGISTRACIONES'!M$125</f>
        <v>-180</v>
      </c>
      <c r="AJ33" s="266">
        <f t="shared" si="96"/>
        <v>1.03</v>
      </c>
      <c r="AK33" s="266">
        <f t="shared" si="86"/>
        <v>-185.4</v>
      </c>
      <c r="AL33" s="266">
        <f>-'2-REGISTRACIONES'!N$125</f>
        <v>-180</v>
      </c>
      <c r="AM33" s="266">
        <f t="shared" si="100"/>
        <v>-180</v>
      </c>
      <c r="AN33" s="148">
        <f t="shared" si="77"/>
        <v>-1920</v>
      </c>
      <c r="AO33">
        <v>-1920</v>
      </c>
      <c r="AP33" s="3">
        <f t="shared" si="11"/>
        <v>0</v>
      </c>
      <c r="AQ33" s="148">
        <f t="shared" si="78"/>
        <v>-2123.6999999999998</v>
      </c>
    </row>
    <row r="34" spans="1:43" x14ac:dyDescent="0.25">
      <c r="A34" s="34" t="s">
        <v>155</v>
      </c>
      <c r="B34" s="266"/>
      <c r="C34" s="266"/>
      <c r="D34" s="266"/>
      <c r="E34" s="266">
        <f>-'2-REGISTRACIONES'!C$86</f>
        <v>-12689</v>
      </c>
      <c r="F34" s="266">
        <f t="shared" si="97"/>
        <v>1.23</v>
      </c>
      <c r="G34" s="266">
        <f t="shared" si="75"/>
        <v>-15607.47</v>
      </c>
      <c r="H34" s="266">
        <f>-'2-REGISTRACIONES'!D$86</f>
        <v>0</v>
      </c>
      <c r="I34" s="266">
        <f t="shared" si="87"/>
        <v>1.2</v>
      </c>
      <c r="J34" s="266">
        <f t="shared" si="79"/>
        <v>0</v>
      </c>
      <c r="K34" s="266">
        <f>-'2-REGISTRACIONES'!E$86</f>
        <v>0</v>
      </c>
      <c r="L34" s="266">
        <f t="shared" si="88"/>
        <v>1.18</v>
      </c>
      <c r="M34" s="266">
        <f t="shared" si="80"/>
        <v>0</v>
      </c>
      <c r="N34" s="266">
        <f>-'2-REGISTRACIONES'!F$86</f>
        <v>0</v>
      </c>
      <c r="O34" s="266">
        <f t="shared" si="89"/>
        <v>1.1499999999999999</v>
      </c>
      <c r="P34" s="266">
        <f t="shared" si="81"/>
        <v>0</v>
      </c>
      <c r="Q34" s="266">
        <f>-'2-REGISTRACIONES'!G$86</f>
        <v>0</v>
      </c>
      <c r="R34" s="266">
        <f t="shared" si="90"/>
        <v>1.1299999999999999</v>
      </c>
      <c r="S34" s="266">
        <f t="shared" si="98"/>
        <v>0</v>
      </c>
      <c r="T34" s="266">
        <f>-'2-REGISTRACIONES'!H$86</f>
        <v>0</v>
      </c>
      <c r="U34" s="266">
        <f t="shared" si="91"/>
        <v>1.1200000000000001</v>
      </c>
      <c r="V34" s="266">
        <f t="shared" si="82"/>
        <v>0</v>
      </c>
      <c r="W34" s="266">
        <f>-'2-REGISTRACIONES'!I$86</f>
        <v>0</v>
      </c>
      <c r="X34" s="266">
        <f t="shared" si="92"/>
        <v>1.1000000000000001</v>
      </c>
      <c r="Y34" s="266">
        <f t="shared" si="83"/>
        <v>0</v>
      </c>
      <c r="Z34" s="266">
        <f>-'2-REGISTRACIONES'!J$86</f>
        <v>0</v>
      </c>
      <c r="AA34" s="266">
        <f t="shared" si="93"/>
        <v>1.08</v>
      </c>
      <c r="AB34" s="266">
        <f t="shared" si="99"/>
        <v>0</v>
      </c>
      <c r="AC34" s="266">
        <f>-'2-REGISTRACIONES'!K$86</f>
        <v>0</v>
      </c>
      <c r="AD34" s="266">
        <f t="shared" si="94"/>
        <v>1.06</v>
      </c>
      <c r="AE34" s="266">
        <f t="shared" si="84"/>
        <v>0</v>
      </c>
      <c r="AF34" s="266">
        <f>-'2-REGISTRACIONES'!L$86</f>
        <v>0</v>
      </c>
      <c r="AG34" s="266">
        <f t="shared" si="95"/>
        <v>1.05</v>
      </c>
      <c r="AH34" s="266">
        <f t="shared" si="85"/>
        <v>0</v>
      </c>
      <c r="AI34" s="266">
        <f>-'2-REGISTRACIONES'!M$86</f>
        <v>0</v>
      </c>
      <c r="AJ34" s="266">
        <f t="shared" si="96"/>
        <v>1.03</v>
      </c>
      <c r="AK34" s="266">
        <f t="shared" si="86"/>
        <v>0</v>
      </c>
      <c r="AL34" s="266">
        <f>-'2-REGISTRACIONES'!N$86</f>
        <v>0</v>
      </c>
      <c r="AM34" s="266">
        <f t="shared" si="100"/>
        <v>0</v>
      </c>
      <c r="AN34" s="148">
        <f t="shared" si="77"/>
        <v>-12689</v>
      </c>
      <c r="AO34">
        <v>-12689</v>
      </c>
      <c r="AP34" s="3">
        <f t="shared" si="11"/>
        <v>0</v>
      </c>
      <c r="AQ34" s="148">
        <f t="shared" si="78"/>
        <v>-15607.47</v>
      </c>
    </row>
    <row r="35" spans="1:43" x14ac:dyDescent="0.25">
      <c r="A35" s="34" t="s">
        <v>157</v>
      </c>
      <c r="B35" s="266"/>
      <c r="C35" s="266"/>
      <c r="D35" s="266"/>
      <c r="E35" s="266">
        <f>-'2-REGISTRACIONES'!C$90</f>
        <v>-3267</v>
      </c>
      <c r="F35" s="266">
        <f t="shared" si="97"/>
        <v>1.23</v>
      </c>
      <c r="G35" s="266">
        <f t="shared" si="75"/>
        <v>-4018.41</v>
      </c>
      <c r="H35" s="266">
        <f>-'2-REGISTRACIONES'!D$90</f>
        <v>-2013</v>
      </c>
      <c r="I35" s="266">
        <f t="shared" si="87"/>
        <v>1.2</v>
      </c>
      <c r="J35" s="266">
        <f t="shared" si="79"/>
        <v>-2415.6</v>
      </c>
      <c r="K35" s="266">
        <f>-'2-REGISTRACIONES'!E$90</f>
        <v>-1867</v>
      </c>
      <c r="L35" s="266">
        <f t="shared" si="88"/>
        <v>1.18</v>
      </c>
      <c r="M35" s="266">
        <f t="shared" si="80"/>
        <v>-2203.06</v>
      </c>
      <c r="N35" s="266">
        <f>-'2-REGISTRACIONES'!F$90</f>
        <v>-1570</v>
      </c>
      <c r="O35" s="266">
        <f t="shared" si="89"/>
        <v>1.1499999999999999</v>
      </c>
      <c r="P35" s="266">
        <f t="shared" si="81"/>
        <v>-1805.4999999999998</v>
      </c>
      <c r="Q35" s="266">
        <f>-'2-REGISTRACIONES'!G$90</f>
        <v>-1326</v>
      </c>
      <c r="R35" s="266">
        <f t="shared" si="90"/>
        <v>1.1299999999999999</v>
      </c>
      <c r="S35" s="266">
        <f t="shared" si="98"/>
        <v>-1498.3799999999999</v>
      </c>
      <c r="T35" s="266">
        <f>-'2-REGISTRACIONES'!H$90</f>
        <v>-1426</v>
      </c>
      <c r="U35" s="266">
        <f t="shared" si="91"/>
        <v>1.1200000000000001</v>
      </c>
      <c r="V35" s="266">
        <f t="shared" si="82"/>
        <v>-1597.1200000000001</v>
      </c>
      <c r="W35" s="266">
        <f>-'2-REGISTRACIONES'!I$90</f>
        <v>-1244</v>
      </c>
      <c r="X35" s="266">
        <f t="shared" si="92"/>
        <v>1.1000000000000001</v>
      </c>
      <c r="Y35" s="266">
        <f t="shared" si="83"/>
        <v>-1368.4</v>
      </c>
      <c r="Z35" s="266">
        <f>-'2-REGISTRACIONES'!J$90</f>
        <v>-1305</v>
      </c>
      <c r="AA35" s="266">
        <f t="shared" si="93"/>
        <v>1.08</v>
      </c>
      <c r="AB35" s="266">
        <f t="shared" si="99"/>
        <v>-1409.4</v>
      </c>
      <c r="AC35" s="266">
        <f>-'2-REGISTRACIONES'!K$90</f>
        <v>-1156</v>
      </c>
      <c r="AD35" s="266">
        <f t="shared" si="94"/>
        <v>1.06</v>
      </c>
      <c r="AE35" s="266">
        <f t="shared" si="84"/>
        <v>-1225.3600000000001</v>
      </c>
      <c r="AF35" s="266">
        <f>-'2-REGISTRACIONES'!L$90</f>
        <v>-1377</v>
      </c>
      <c r="AG35" s="266">
        <f t="shared" si="95"/>
        <v>1.05</v>
      </c>
      <c r="AH35" s="266">
        <f t="shared" si="85"/>
        <v>-1445.8500000000001</v>
      </c>
      <c r="AI35" s="266">
        <f>-'2-REGISTRACIONES'!M$90</f>
        <v>-1267</v>
      </c>
      <c r="AJ35" s="266">
        <f t="shared" si="96"/>
        <v>1.03</v>
      </c>
      <c r="AK35" s="266">
        <f t="shared" si="86"/>
        <v>-1305.01</v>
      </c>
      <c r="AL35" s="266">
        <f>-'2-REGISTRACIONES'!N$90</f>
        <v>-1687</v>
      </c>
      <c r="AM35" s="266">
        <f t="shared" si="100"/>
        <v>-1687</v>
      </c>
      <c r="AN35" s="148">
        <f t="shared" si="77"/>
        <v>-19505</v>
      </c>
      <c r="AO35">
        <v>-19505</v>
      </c>
      <c r="AP35" s="3">
        <f t="shared" si="11"/>
        <v>0</v>
      </c>
      <c r="AQ35" s="148">
        <f t="shared" si="78"/>
        <v>-21979.089999999997</v>
      </c>
    </row>
    <row r="36" spans="1:43" x14ac:dyDescent="0.25">
      <c r="A36" s="34" t="s">
        <v>156</v>
      </c>
      <c r="B36" s="266"/>
      <c r="C36" s="266"/>
      <c r="D36" s="266"/>
      <c r="E36" s="266">
        <f>-'2-REGISTRACIONES'!C$103</f>
        <v>-1650</v>
      </c>
      <c r="F36" s="266">
        <f t="shared" si="97"/>
        <v>1.23</v>
      </c>
      <c r="G36" s="266">
        <f t="shared" si="75"/>
        <v>-2029.5</v>
      </c>
      <c r="H36" s="266">
        <f>-'2-REGISTRACIONES'!D$103</f>
        <v>-1253</v>
      </c>
      <c r="I36" s="266">
        <f t="shared" si="87"/>
        <v>1.2</v>
      </c>
      <c r="J36" s="266">
        <f t="shared" si="79"/>
        <v>-1503.6</v>
      </c>
      <c r="K36" s="266">
        <f>-'2-REGISTRACIONES'!E$103</f>
        <v>-1543</v>
      </c>
      <c r="L36" s="266">
        <f t="shared" si="88"/>
        <v>1.18</v>
      </c>
      <c r="M36" s="266">
        <f t="shared" si="80"/>
        <v>-1820.74</v>
      </c>
      <c r="N36" s="266">
        <f>-'2-REGISTRACIONES'!F$103</f>
        <v>-1983</v>
      </c>
      <c r="O36" s="266">
        <f t="shared" si="89"/>
        <v>1.1499999999999999</v>
      </c>
      <c r="P36" s="266">
        <f t="shared" si="81"/>
        <v>-2280.4499999999998</v>
      </c>
      <c r="Q36" s="266">
        <f>-'2-REGISTRACIONES'!G$103</f>
        <v>-1056</v>
      </c>
      <c r="R36" s="266">
        <f t="shared" si="90"/>
        <v>1.1299999999999999</v>
      </c>
      <c r="S36" s="266">
        <f t="shared" si="98"/>
        <v>-1193.28</v>
      </c>
      <c r="T36" s="266">
        <f>-'2-REGISTRACIONES'!H$103</f>
        <v>-3356</v>
      </c>
      <c r="U36" s="266">
        <f t="shared" si="91"/>
        <v>1.1200000000000001</v>
      </c>
      <c r="V36" s="266">
        <f t="shared" si="82"/>
        <v>-3758.7200000000003</v>
      </c>
      <c r="W36" s="266">
        <f>-'2-REGISTRACIONES'!I$103</f>
        <v>-1376</v>
      </c>
      <c r="X36" s="266">
        <f t="shared" si="92"/>
        <v>1.1000000000000001</v>
      </c>
      <c r="Y36" s="266">
        <f t="shared" si="83"/>
        <v>-1513.6000000000001</v>
      </c>
      <c r="Z36" s="266">
        <f>-'2-REGISTRACIONES'!J$103</f>
        <v>-2211</v>
      </c>
      <c r="AA36" s="266">
        <f t="shared" si="93"/>
        <v>1.08</v>
      </c>
      <c r="AB36" s="266">
        <f t="shared" si="99"/>
        <v>-2387.88</v>
      </c>
      <c r="AC36" s="266">
        <f>-'2-REGISTRACIONES'!K$103</f>
        <v>-2137</v>
      </c>
      <c r="AD36" s="266">
        <f t="shared" si="94"/>
        <v>1.06</v>
      </c>
      <c r="AE36" s="266">
        <f t="shared" si="84"/>
        <v>-2265.2200000000003</v>
      </c>
      <c r="AF36" s="266">
        <f>-'2-REGISTRACIONES'!L$103</f>
        <v>-2240</v>
      </c>
      <c r="AG36" s="266">
        <f t="shared" si="95"/>
        <v>1.05</v>
      </c>
      <c r="AH36" s="266">
        <f t="shared" si="85"/>
        <v>-2352</v>
      </c>
      <c r="AI36" s="266">
        <f>-'2-REGISTRACIONES'!M$103</f>
        <v>-2456</v>
      </c>
      <c r="AJ36" s="266">
        <f t="shared" si="96"/>
        <v>1.03</v>
      </c>
      <c r="AK36" s="266">
        <f t="shared" si="86"/>
        <v>-2529.6800000000003</v>
      </c>
      <c r="AL36" s="266">
        <f>-'2-REGISTRACIONES'!N$103</f>
        <v>-2301</v>
      </c>
      <c r="AM36" s="266">
        <f t="shared" si="100"/>
        <v>-2301</v>
      </c>
      <c r="AN36" s="148">
        <f t="shared" si="77"/>
        <v>-23562</v>
      </c>
      <c r="AO36">
        <v>-23562</v>
      </c>
      <c r="AP36" s="3">
        <f t="shared" si="11"/>
        <v>0</v>
      </c>
      <c r="AQ36" s="148">
        <f t="shared" si="78"/>
        <v>-25935.670000000002</v>
      </c>
    </row>
    <row r="37" spans="1:43" x14ac:dyDescent="0.25">
      <c r="A37" s="34" t="s">
        <v>158</v>
      </c>
      <c r="B37" s="266"/>
      <c r="C37" s="266"/>
      <c r="D37" s="266"/>
      <c r="E37" s="266">
        <f>-'2-REGISTRACIONES'!C$129</f>
        <v>-4500</v>
      </c>
      <c r="F37" s="266">
        <f t="shared" si="97"/>
        <v>1.23</v>
      </c>
      <c r="G37" s="266">
        <f t="shared" si="75"/>
        <v>-5535</v>
      </c>
      <c r="H37" s="266">
        <f>-'2-REGISTRACIONES'!D$129</f>
        <v>-4500</v>
      </c>
      <c r="I37" s="266">
        <f t="shared" si="87"/>
        <v>1.2</v>
      </c>
      <c r="J37" s="266">
        <f t="shared" si="79"/>
        <v>-5400</v>
      </c>
      <c r="K37" s="266">
        <f>-'2-REGISTRACIONES'!E$129</f>
        <v>-3000</v>
      </c>
      <c r="L37" s="266">
        <f t="shared" si="88"/>
        <v>1.18</v>
      </c>
      <c r="M37" s="266">
        <f t="shared" si="80"/>
        <v>-3540</v>
      </c>
      <c r="N37" s="266">
        <f>-'2-REGISTRACIONES'!F$129</f>
        <v>-2500</v>
      </c>
      <c r="O37" s="266">
        <f t="shared" si="89"/>
        <v>1.1499999999999999</v>
      </c>
      <c r="P37" s="266">
        <f t="shared" si="81"/>
        <v>-2875</v>
      </c>
      <c r="Q37" s="266">
        <f>-'2-REGISTRACIONES'!G$129</f>
        <v>-2000</v>
      </c>
      <c r="R37" s="266">
        <f t="shared" si="90"/>
        <v>1.1299999999999999</v>
      </c>
      <c r="S37" s="266">
        <f t="shared" si="98"/>
        <v>-2260</v>
      </c>
      <c r="T37" s="266">
        <f>-'2-REGISTRACIONES'!H$129</f>
        <v>-1500</v>
      </c>
      <c r="U37" s="266">
        <f t="shared" si="91"/>
        <v>1.1200000000000001</v>
      </c>
      <c r="V37" s="266">
        <f t="shared" si="82"/>
        <v>-1680.0000000000002</v>
      </c>
      <c r="W37" s="266">
        <f>-'2-REGISTRACIONES'!I$129</f>
        <v>-1500</v>
      </c>
      <c r="X37" s="266">
        <f t="shared" si="92"/>
        <v>1.1000000000000001</v>
      </c>
      <c r="Y37" s="266">
        <f t="shared" si="83"/>
        <v>-1650.0000000000002</v>
      </c>
      <c r="Z37" s="266">
        <f>-'2-REGISTRACIONES'!J$129</f>
        <v>-1500</v>
      </c>
      <c r="AA37" s="266">
        <f t="shared" si="93"/>
        <v>1.08</v>
      </c>
      <c r="AB37" s="266">
        <f t="shared" si="99"/>
        <v>-1620</v>
      </c>
      <c r="AC37" s="266">
        <f>-'2-REGISTRACIONES'!K$129</f>
        <v>-3000</v>
      </c>
      <c r="AD37" s="266">
        <f t="shared" si="94"/>
        <v>1.06</v>
      </c>
      <c r="AE37" s="266">
        <f t="shared" si="84"/>
        <v>-3180</v>
      </c>
      <c r="AF37" s="266">
        <f>-'2-REGISTRACIONES'!L$129</f>
        <v>-3000</v>
      </c>
      <c r="AG37" s="266">
        <f t="shared" si="95"/>
        <v>1.05</v>
      </c>
      <c r="AH37" s="266">
        <f t="shared" si="85"/>
        <v>-3150</v>
      </c>
      <c r="AI37" s="266">
        <f>-'2-REGISTRACIONES'!M$129</f>
        <v>-3000</v>
      </c>
      <c r="AJ37" s="266">
        <f t="shared" si="96"/>
        <v>1.03</v>
      </c>
      <c r="AK37" s="266">
        <f t="shared" si="86"/>
        <v>-3090</v>
      </c>
      <c r="AL37" s="266">
        <f>-'2-REGISTRACIONES'!N$129</f>
        <v>-3000</v>
      </c>
      <c r="AM37" s="266">
        <f t="shared" si="100"/>
        <v>-3000</v>
      </c>
      <c r="AN37" s="148">
        <f t="shared" si="77"/>
        <v>-33000</v>
      </c>
      <c r="AO37">
        <v>-33000</v>
      </c>
      <c r="AP37" s="3">
        <f t="shared" si="11"/>
        <v>0</v>
      </c>
      <c r="AQ37" s="148">
        <f t="shared" si="78"/>
        <v>-36980</v>
      </c>
    </row>
    <row r="38" spans="1:43" x14ac:dyDescent="0.25">
      <c r="A38" s="34" t="s">
        <v>159</v>
      </c>
      <c r="B38" s="266"/>
      <c r="C38" s="266"/>
      <c r="D38" s="266"/>
      <c r="E38" s="266">
        <f>-'2-REGISTRACIONES'!C$121</f>
        <v>-1500</v>
      </c>
      <c r="F38" s="266">
        <f t="shared" si="97"/>
        <v>1.23</v>
      </c>
      <c r="G38" s="266">
        <f t="shared" si="75"/>
        <v>-1845</v>
      </c>
      <c r="H38" s="266">
        <f>-'2-REGISTRACIONES'!D$121</f>
        <v>-1500</v>
      </c>
      <c r="I38" s="266">
        <f t="shared" si="87"/>
        <v>1.2</v>
      </c>
      <c r="J38" s="266">
        <f t="shared" si="79"/>
        <v>-1800</v>
      </c>
      <c r="K38" s="266">
        <f>-'2-REGISTRACIONES'!E$121</f>
        <v>-1500</v>
      </c>
      <c r="L38" s="266">
        <f t="shared" si="88"/>
        <v>1.18</v>
      </c>
      <c r="M38" s="266">
        <f t="shared" si="80"/>
        <v>-1770</v>
      </c>
      <c r="N38" s="266">
        <f>-'2-REGISTRACIONES'!F$121</f>
        <v>-1500</v>
      </c>
      <c r="O38" s="266">
        <f t="shared" si="89"/>
        <v>1.1499999999999999</v>
      </c>
      <c r="P38" s="266">
        <f t="shared" si="81"/>
        <v>-1724.9999999999998</v>
      </c>
      <c r="Q38" s="266">
        <f>-'2-REGISTRACIONES'!G$121</f>
        <v>-1500</v>
      </c>
      <c r="R38" s="266">
        <f t="shared" si="90"/>
        <v>1.1299999999999999</v>
      </c>
      <c r="S38" s="266">
        <f t="shared" si="98"/>
        <v>-1694.9999999999998</v>
      </c>
      <c r="T38" s="266">
        <f>-'2-REGISTRACIONES'!H$121</f>
        <v>-1500</v>
      </c>
      <c r="U38" s="266">
        <f t="shared" si="91"/>
        <v>1.1200000000000001</v>
      </c>
      <c r="V38" s="266">
        <f t="shared" si="82"/>
        <v>-1680.0000000000002</v>
      </c>
      <c r="W38" s="266">
        <f>-'2-REGISTRACIONES'!I$121</f>
        <v>-1700</v>
      </c>
      <c r="X38" s="266">
        <f t="shared" si="92"/>
        <v>1.1000000000000001</v>
      </c>
      <c r="Y38" s="266">
        <f t="shared" si="83"/>
        <v>-1870.0000000000002</v>
      </c>
      <c r="Z38" s="266">
        <f>-'2-REGISTRACIONES'!J$121</f>
        <v>-1700</v>
      </c>
      <c r="AA38" s="266">
        <f t="shared" si="93"/>
        <v>1.08</v>
      </c>
      <c r="AB38" s="266">
        <f t="shared" si="99"/>
        <v>-1836.0000000000002</v>
      </c>
      <c r="AC38" s="266">
        <f>-'2-REGISTRACIONES'!K$121</f>
        <v>-1700</v>
      </c>
      <c r="AD38" s="266">
        <f t="shared" si="94"/>
        <v>1.06</v>
      </c>
      <c r="AE38" s="266">
        <f t="shared" si="84"/>
        <v>-1802</v>
      </c>
      <c r="AF38" s="266">
        <f>-'2-REGISTRACIONES'!L$121</f>
        <v>-1700</v>
      </c>
      <c r="AG38" s="266">
        <f t="shared" si="95"/>
        <v>1.05</v>
      </c>
      <c r="AH38" s="266">
        <f t="shared" si="85"/>
        <v>-1785</v>
      </c>
      <c r="AI38" s="266">
        <f>-'2-REGISTRACIONES'!M$121</f>
        <v>-1700</v>
      </c>
      <c r="AJ38" s="266">
        <f t="shared" si="96"/>
        <v>1.03</v>
      </c>
      <c r="AK38" s="266">
        <f t="shared" si="86"/>
        <v>-1751</v>
      </c>
      <c r="AL38" s="266">
        <f>-'2-REGISTRACIONES'!N$121</f>
        <v>-1700</v>
      </c>
      <c r="AM38" s="266">
        <f t="shared" si="100"/>
        <v>-1700</v>
      </c>
      <c r="AN38" s="148">
        <f t="shared" si="77"/>
        <v>-19200</v>
      </c>
      <c r="AO38">
        <v>-19200</v>
      </c>
      <c r="AP38" s="3">
        <f t="shared" si="11"/>
        <v>0</v>
      </c>
      <c r="AQ38" s="148">
        <f t="shared" si="78"/>
        <v>-21259</v>
      </c>
    </row>
    <row r="39" spans="1:43" x14ac:dyDescent="0.25">
      <c r="A39" s="34" t="s">
        <v>160</v>
      </c>
      <c r="B39" s="266"/>
      <c r="C39" s="266"/>
      <c r="D39" s="266"/>
      <c r="E39" s="266">
        <f>-'2-REGISTRACIONES'!C$82</f>
        <v>-201</v>
      </c>
      <c r="F39" s="266">
        <f t="shared" si="97"/>
        <v>1.23</v>
      </c>
      <c r="G39" s="266">
        <f t="shared" si="75"/>
        <v>-247.23</v>
      </c>
      <c r="H39" s="266">
        <f>-'2-REGISTRACIONES'!D$82</f>
        <v>-235</v>
      </c>
      <c r="I39" s="266">
        <f t="shared" si="87"/>
        <v>1.2</v>
      </c>
      <c r="J39" s="266">
        <f t="shared" si="79"/>
        <v>-282</v>
      </c>
      <c r="K39" s="266">
        <f>-'2-REGISTRACIONES'!E$82</f>
        <v>-223</v>
      </c>
      <c r="L39" s="266">
        <f t="shared" si="88"/>
        <v>1.18</v>
      </c>
      <c r="M39" s="266">
        <f t="shared" si="80"/>
        <v>-263.14</v>
      </c>
      <c r="N39" s="266">
        <f>-'2-REGISTRACIONES'!F$82</f>
        <v>-215</v>
      </c>
      <c r="O39" s="266">
        <f t="shared" si="89"/>
        <v>1.1499999999999999</v>
      </c>
      <c r="P39" s="266">
        <f t="shared" si="81"/>
        <v>-247.24999999999997</v>
      </c>
      <c r="Q39" s="266">
        <f>-'2-REGISTRACIONES'!G$82</f>
        <v>-259</v>
      </c>
      <c r="R39" s="266">
        <f t="shared" si="90"/>
        <v>1.1299999999999999</v>
      </c>
      <c r="S39" s="266">
        <f t="shared" si="98"/>
        <v>-292.66999999999996</v>
      </c>
      <c r="T39" s="266">
        <f>-'2-REGISTRACIONES'!H$82</f>
        <v>-242</v>
      </c>
      <c r="U39" s="266">
        <f t="shared" si="91"/>
        <v>1.1200000000000001</v>
      </c>
      <c r="V39" s="266">
        <f t="shared" si="82"/>
        <v>-271.04000000000002</v>
      </c>
      <c r="W39" s="266">
        <f>-'2-REGISTRACIONES'!I$82</f>
        <v>-234</v>
      </c>
      <c r="X39" s="266">
        <f t="shared" si="92"/>
        <v>1.1000000000000001</v>
      </c>
      <c r="Y39" s="266">
        <f t="shared" si="83"/>
        <v>-257.40000000000003</v>
      </c>
      <c r="Z39" s="266">
        <f>-'2-REGISTRACIONES'!J$82</f>
        <v>-247</v>
      </c>
      <c r="AA39" s="266">
        <f t="shared" si="93"/>
        <v>1.08</v>
      </c>
      <c r="AB39" s="266">
        <f t="shared" si="99"/>
        <v>-266.76</v>
      </c>
      <c r="AC39" s="266">
        <f>-'2-REGISTRACIONES'!K$82</f>
        <v>-238</v>
      </c>
      <c r="AD39" s="266">
        <f t="shared" si="94"/>
        <v>1.06</v>
      </c>
      <c r="AE39" s="266">
        <f t="shared" si="84"/>
        <v>-252.28</v>
      </c>
      <c r="AF39" s="266">
        <f>-'2-REGISTRACIONES'!L$82</f>
        <v>-251</v>
      </c>
      <c r="AG39" s="266">
        <f t="shared" si="95"/>
        <v>1.05</v>
      </c>
      <c r="AH39" s="266">
        <f t="shared" si="85"/>
        <v>-263.55</v>
      </c>
      <c r="AI39" s="266">
        <f>-'2-REGISTRACIONES'!M$82</f>
        <v>-257</v>
      </c>
      <c r="AJ39" s="266">
        <f t="shared" si="96"/>
        <v>1.03</v>
      </c>
      <c r="AK39" s="266">
        <f t="shared" si="86"/>
        <v>-264.70999999999998</v>
      </c>
      <c r="AL39" s="266">
        <f>-'2-REGISTRACIONES'!N$82</f>
        <v>-261</v>
      </c>
      <c r="AM39" s="266">
        <f t="shared" si="100"/>
        <v>-261</v>
      </c>
      <c r="AN39" s="148">
        <f t="shared" si="77"/>
        <v>-2863</v>
      </c>
      <c r="AO39">
        <v>-2863</v>
      </c>
      <c r="AP39" s="3">
        <f t="shared" si="11"/>
        <v>0</v>
      </c>
      <c r="AQ39" s="148">
        <f t="shared" si="78"/>
        <v>-3169.03</v>
      </c>
    </row>
    <row r="40" spans="1:43" x14ac:dyDescent="0.25">
      <c r="A40" s="34" t="s">
        <v>161</v>
      </c>
      <c r="B40" s="266"/>
      <c r="C40" s="266"/>
      <c r="D40" s="266"/>
      <c r="E40" s="266">
        <f>-'2-REGISTRACIONES'!C$81</f>
        <v>-2350</v>
      </c>
      <c r="F40" s="266">
        <f t="shared" si="97"/>
        <v>1.23</v>
      </c>
      <c r="G40" s="266">
        <f t="shared" si="75"/>
        <v>-2890.5</v>
      </c>
      <c r="H40" s="266">
        <f>-'2-REGISTRACIONES'!D$81</f>
        <v>-2115</v>
      </c>
      <c r="I40" s="266">
        <f t="shared" si="87"/>
        <v>1.2</v>
      </c>
      <c r="J40" s="266">
        <f t="shared" si="79"/>
        <v>-2538</v>
      </c>
      <c r="K40" s="266">
        <f>-'2-REGISTRACIONES'!E$81</f>
        <v>-2445</v>
      </c>
      <c r="L40" s="266">
        <f t="shared" si="88"/>
        <v>1.18</v>
      </c>
      <c r="M40" s="266">
        <f t="shared" si="80"/>
        <v>-2885.1</v>
      </c>
      <c r="N40" s="266">
        <f>-'2-REGISTRACIONES'!F$81</f>
        <v>-2673</v>
      </c>
      <c r="O40" s="266">
        <f t="shared" si="89"/>
        <v>1.1499999999999999</v>
      </c>
      <c r="P40" s="266">
        <f t="shared" si="81"/>
        <v>-3073.95</v>
      </c>
      <c r="Q40" s="266">
        <f>-'2-REGISTRACIONES'!G$81</f>
        <v>-2594</v>
      </c>
      <c r="R40" s="266">
        <f t="shared" si="90"/>
        <v>1.1299999999999999</v>
      </c>
      <c r="S40" s="266">
        <f t="shared" si="98"/>
        <v>-2931.22</v>
      </c>
      <c r="T40" s="266">
        <f>-'2-REGISTRACIONES'!H$81</f>
        <v>-2301</v>
      </c>
      <c r="U40" s="266">
        <f t="shared" si="91"/>
        <v>1.1200000000000001</v>
      </c>
      <c r="V40" s="266">
        <f t="shared" si="82"/>
        <v>-2577.1200000000003</v>
      </c>
      <c r="W40" s="266">
        <f>-'2-REGISTRACIONES'!I$81</f>
        <v>-2456</v>
      </c>
      <c r="X40" s="266">
        <f t="shared" si="92"/>
        <v>1.1000000000000001</v>
      </c>
      <c r="Y40" s="266">
        <f t="shared" si="83"/>
        <v>-2701.6000000000004</v>
      </c>
      <c r="Z40" s="266">
        <f>-'2-REGISTRACIONES'!J$81</f>
        <v>-2780</v>
      </c>
      <c r="AA40" s="266">
        <f t="shared" si="93"/>
        <v>1.08</v>
      </c>
      <c r="AB40" s="266">
        <f t="shared" si="99"/>
        <v>-3002.4</v>
      </c>
      <c r="AC40" s="266">
        <f>-'2-REGISTRACIONES'!K$81</f>
        <v>-2863</v>
      </c>
      <c r="AD40" s="266">
        <f t="shared" si="94"/>
        <v>1.06</v>
      </c>
      <c r="AE40" s="266">
        <f t="shared" si="84"/>
        <v>-3034.78</v>
      </c>
      <c r="AF40" s="266">
        <f>-'2-REGISTRACIONES'!L$81</f>
        <v>-2934</v>
      </c>
      <c r="AG40" s="266">
        <f t="shared" si="95"/>
        <v>1.05</v>
      </c>
      <c r="AH40" s="266">
        <f t="shared" si="85"/>
        <v>-3080.7000000000003</v>
      </c>
      <c r="AI40" s="266">
        <f>-'2-REGISTRACIONES'!M$81</f>
        <v>-2967</v>
      </c>
      <c r="AJ40" s="266">
        <f t="shared" si="96"/>
        <v>1.03</v>
      </c>
      <c r="AK40" s="266">
        <f t="shared" si="86"/>
        <v>-3056.01</v>
      </c>
      <c r="AL40" s="266">
        <f>-'2-REGISTRACIONES'!N$81</f>
        <v>-3140</v>
      </c>
      <c r="AM40" s="266">
        <f t="shared" si="100"/>
        <v>-3140</v>
      </c>
      <c r="AN40" s="148">
        <f t="shared" si="77"/>
        <v>-31618</v>
      </c>
      <c r="AO40">
        <v>-31618</v>
      </c>
      <c r="AP40" s="3">
        <f t="shared" si="11"/>
        <v>0</v>
      </c>
      <c r="AQ40" s="148">
        <f t="shared" si="78"/>
        <v>-34911.379999999997</v>
      </c>
    </row>
    <row r="41" spans="1:43" x14ac:dyDescent="0.25">
      <c r="A41" s="34" t="s">
        <v>162</v>
      </c>
      <c r="B41" s="266"/>
      <c r="C41" s="266"/>
      <c r="D41" s="266"/>
      <c r="E41" s="266">
        <f>-'2-REGISTRACIONES'!C$107</f>
        <v>-2000</v>
      </c>
      <c r="F41" s="266">
        <f t="shared" si="97"/>
        <v>1.23</v>
      </c>
      <c r="G41" s="266">
        <f t="shared" si="75"/>
        <v>-2460</v>
      </c>
      <c r="H41" s="266">
        <f>-'2-REGISTRACIONES'!D$107</f>
        <v>-2000</v>
      </c>
      <c r="I41" s="266">
        <f t="shared" si="87"/>
        <v>1.2</v>
      </c>
      <c r="J41" s="266">
        <f t="shared" si="79"/>
        <v>-2400</v>
      </c>
      <c r="K41" s="266">
        <f>-'2-REGISTRACIONES'!E$107</f>
        <v>-2000</v>
      </c>
      <c r="L41" s="266">
        <f t="shared" si="88"/>
        <v>1.18</v>
      </c>
      <c r="M41" s="266">
        <f t="shared" si="80"/>
        <v>-2360</v>
      </c>
      <c r="N41" s="266">
        <f>-'2-REGISTRACIONES'!F$107</f>
        <v>-2000</v>
      </c>
      <c r="O41" s="266">
        <f t="shared" si="89"/>
        <v>1.1499999999999999</v>
      </c>
      <c r="P41" s="266">
        <f t="shared" si="81"/>
        <v>-2300</v>
      </c>
      <c r="Q41" s="266">
        <f>-'2-REGISTRACIONES'!G$107</f>
        <v>-2000</v>
      </c>
      <c r="R41" s="266">
        <f t="shared" si="90"/>
        <v>1.1299999999999999</v>
      </c>
      <c r="S41" s="266">
        <f t="shared" si="98"/>
        <v>-2260</v>
      </c>
      <c r="T41" s="266">
        <f>-'2-REGISTRACIONES'!H$107</f>
        <v>-2000</v>
      </c>
      <c r="U41" s="266">
        <f t="shared" si="91"/>
        <v>1.1200000000000001</v>
      </c>
      <c r="V41" s="266">
        <f t="shared" si="82"/>
        <v>-2240</v>
      </c>
      <c r="W41" s="266">
        <f>-'2-REGISTRACIONES'!I$107</f>
        <v>-2000</v>
      </c>
      <c r="X41" s="266">
        <f t="shared" si="92"/>
        <v>1.1000000000000001</v>
      </c>
      <c r="Y41" s="266">
        <f t="shared" si="83"/>
        <v>-2200</v>
      </c>
      <c r="Z41" s="266">
        <f>-'2-REGISTRACIONES'!J$107</f>
        <v>-2000</v>
      </c>
      <c r="AA41" s="266">
        <f t="shared" si="93"/>
        <v>1.08</v>
      </c>
      <c r="AB41" s="266">
        <f t="shared" si="99"/>
        <v>-2160</v>
      </c>
      <c r="AC41" s="266">
        <f>-'2-REGISTRACIONES'!K$107</f>
        <v>-2000</v>
      </c>
      <c r="AD41" s="266">
        <f t="shared" si="94"/>
        <v>1.06</v>
      </c>
      <c r="AE41" s="266">
        <f t="shared" si="84"/>
        <v>-2120</v>
      </c>
      <c r="AF41" s="266">
        <f>-'2-REGISTRACIONES'!L$107</f>
        <v>-2000</v>
      </c>
      <c r="AG41" s="266">
        <f t="shared" si="95"/>
        <v>1.05</v>
      </c>
      <c r="AH41" s="266">
        <f t="shared" si="85"/>
        <v>-2100</v>
      </c>
      <c r="AI41" s="266">
        <f>-'2-REGISTRACIONES'!M$107</f>
        <v>-2500</v>
      </c>
      <c r="AJ41" s="266">
        <f t="shared" si="96"/>
        <v>1.03</v>
      </c>
      <c r="AK41" s="266">
        <f t="shared" si="86"/>
        <v>-2575</v>
      </c>
      <c r="AL41" s="266">
        <f>-'2-REGISTRACIONES'!N$107</f>
        <v>-2500</v>
      </c>
      <c r="AM41" s="266">
        <f t="shared" si="100"/>
        <v>-2500</v>
      </c>
      <c r="AN41" s="148">
        <f t="shared" si="77"/>
        <v>-25000</v>
      </c>
      <c r="AO41">
        <v>-25000</v>
      </c>
      <c r="AP41" s="3">
        <f t="shared" si="11"/>
        <v>0</v>
      </c>
      <c r="AQ41" s="148">
        <f t="shared" si="78"/>
        <v>-27675</v>
      </c>
    </row>
    <row r="42" spans="1:43" x14ac:dyDescent="0.25">
      <c r="A42" s="34" t="s">
        <v>163</v>
      </c>
      <c r="B42" s="266"/>
      <c r="C42" s="266"/>
      <c r="D42" s="266"/>
      <c r="E42" s="266">
        <f>-'2-REGISTRACIONES'!C$133</f>
        <v>-1255</v>
      </c>
      <c r="F42" s="266">
        <f t="shared" si="97"/>
        <v>1.23</v>
      </c>
      <c r="G42" s="266">
        <f t="shared" si="75"/>
        <v>-1543.65</v>
      </c>
      <c r="H42" s="266">
        <f>-'2-REGISTRACIONES'!D$133</f>
        <v>-890</v>
      </c>
      <c r="I42" s="266">
        <f t="shared" si="87"/>
        <v>1.2</v>
      </c>
      <c r="J42" s="266">
        <f t="shared" si="79"/>
        <v>-1068</v>
      </c>
      <c r="K42" s="266">
        <f>-'2-REGISTRACIONES'!E$133</f>
        <v>-963</v>
      </c>
      <c r="L42" s="266">
        <f t="shared" si="88"/>
        <v>1.18</v>
      </c>
      <c r="M42" s="266">
        <f t="shared" si="80"/>
        <v>-1136.3399999999999</v>
      </c>
      <c r="N42" s="266">
        <f>-'2-REGISTRACIONES'!F$133</f>
        <v>-980</v>
      </c>
      <c r="O42" s="266">
        <f t="shared" si="89"/>
        <v>1.1499999999999999</v>
      </c>
      <c r="P42" s="266">
        <f t="shared" si="81"/>
        <v>-1127</v>
      </c>
      <c r="Q42" s="266">
        <f>-'2-REGISTRACIONES'!G$133</f>
        <v>-1015</v>
      </c>
      <c r="R42" s="266">
        <f t="shared" si="90"/>
        <v>1.1299999999999999</v>
      </c>
      <c r="S42" s="266">
        <f t="shared" si="98"/>
        <v>-1146.9499999999998</v>
      </c>
      <c r="T42" s="266">
        <f>-'2-REGISTRACIONES'!H$133</f>
        <v>-1135</v>
      </c>
      <c r="U42" s="266">
        <f t="shared" si="91"/>
        <v>1.1200000000000001</v>
      </c>
      <c r="V42" s="266">
        <f t="shared" si="82"/>
        <v>-1271.2</v>
      </c>
      <c r="W42" s="266">
        <f>-'2-REGISTRACIONES'!I$133</f>
        <v>-975</v>
      </c>
      <c r="X42" s="266">
        <f t="shared" si="92"/>
        <v>1.1000000000000001</v>
      </c>
      <c r="Y42" s="266">
        <f t="shared" si="83"/>
        <v>-1072.5</v>
      </c>
      <c r="Z42" s="266">
        <f>-'2-REGISTRACIONES'!J$133</f>
        <v>-845</v>
      </c>
      <c r="AA42" s="266">
        <f t="shared" si="93"/>
        <v>1.08</v>
      </c>
      <c r="AB42" s="266">
        <f t="shared" si="99"/>
        <v>-912.6</v>
      </c>
      <c r="AC42" s="266">
        <f>-'2-REGISTRACIONES'!K$133</f>
        <v>-1356</v>
      </c>
      <c r="AD42" s="266">
        <f t="shared" si="94"/>
        <v>1.06</v>
      </c>
      <c r="AE42" s="266">
        <f t="shared" si="84"/>
        <v>-1437.3600000000001</v>
      </c>
      <c r="AF42" s="266">
        <f>-'2-REGISTRACIONES'!L$133</f>
        <v>-1243</v>
      </c>
      <c r="AG42" s="266">
        <f t="shared" si="95"/>
        <v>1.05</v>
      </c>
      <c r="AH42" s="266">
        <f t="shared" si="85"/>
        <v>-1305.1500000000001</v>
      </c>
      <c r="AI42" s="266">
        <f>-'2-REGISTRACIONES'!M$133</f>
        <v>-1436</v>
      </c>
      <c r="AJ42" s="266">
        <f t="shared" si="96"/>
        <v>1.03</v>
      </c>
      <c r="AK42" s="266">
        <f t="shared" si="86"/>
        <v>-1479.08</v>
      </c>
      <c r="AL42" s="266">
        <f>-'2-REGISTRACIONES'!N$133</f>
        <v>-1563</v>
      </c>
      <c r="AM42" s="266">
        <f t="shared" si="100"/>
        <v>-1563</v>
      </c>
      <c r="AN42" s="148">
        <f t="shared" si="77"/>
        <v>-13656</v>
      </c>
      <c r="AO42">
        <v>-13656</v>
      </c>
      <c r="AP42" s="3">
        <f t="shared" si="11"/>
        <v>0</v>
      </c>
      <c r="AQ42" s="148">
        <f t="shared" si="78"/>
        <v>-15062.83</v>
      </c>
    </row>
    <row r="43" spans="1:43" x14ac:dyDescent="0.25">
      <c r="A43" s="34" t="s">
        <v>164</v>
      </c>
      <c r="B43" s="266"/>
      <c r="C43" s="266"/>
      <c r="D43" s="266"/>
      <c r="E43" s="266">
        <f>-'2-REGISTRACIONES'!C$74</f>
        <v>-10000</v>
      </c>
      <c r="F43" s="266">
        <f t="shared" si="97"/>
        <v>1.23</v>
      </c>
      <c r="G43" s="266">
        <f t="shared" si="75"/>
        <v>-12300</v>
      </c>
      <c r="H43" s="266">
        <f>-'2-REGISTRACIONES'!D$74</f>
        <v>-10000</v>
      </c>
      <c r="I43" s="266">
        <f t="shared" si="87"/>
        <v>1.2</v>
      </c>
      <c r="J43" s="266">
        <f t="shared" si="79"/>
        <v>-12000</v>
      </c>
      <c r="K43" s="266">
        <f>-'2-REGISTRACIONES'!E$74</f>
        <v>-10000</v>
      </c>
      <c r="L43" s="266">
        <f t="shared" si="88"/>
        <v>1.18</v>
      </c>
      <c r="M43" s="266">
        <f t="shared" si="80"/>
        <v>-11800</v>
      </c>
      <c r="N43" s="266">
        <f>-'2-REGISTRACIONES'!F$74</f>
        <v>-10000</v>
      </c>
      <c r="O43" s="266">
        <f t="shared" si="89"/>
        <v>1.1499999999999999</v>
      </c>
      <c r="P43" s="266">
        <f t="shared" si="81"/>
        <v>-11500</v>
      </c>
      <c r="Q43" s="266">
        <f>-'2-REGISTRACIONES'!G$74</f>
        <v>-10000</v>
      </c>
      <c r="R43" s="266">
        <f t="shared" si="90"/>
        <v>1.1299999999999999</v>
      </c>
      <c r="S43" s="266">
        <f t="shared" si="98"/>
        <v>-11299.999999999998</v>
      </c>
      <c r="T43" s="266">
        <f>-'2-REGISTRACIONES'!H$74</f>
        <v>-15000</v>
      </c>
      <c r="U43" s="266">
        <f t="shared" si="91"/>
        <v>1.1200000000000001</v>
      </c>
      <c r="V43" s="266">
        <f t="shared" si="82"/>
        <v>-16800</v>
      </c>
      <c r="W43" s="266">
        <f>-'2-REGISTRACIONES'!I$74</f>
        <v>-10000</v>
      </c>
      <c r="X43" s="266">
        <f t="shared" si="92"/>
        <v>1.1000000000000001</v>
      </c>
      <c r="Y43" s="266">
        <f t="shared" si="83"/>
        <v>-11000</v>
      </c>
      <c r="Z43" s="266">
        <f>-'2-REGISTRACIONES'!J$74</f>
        <v>-11500</v>
      </c>
      <c r="AA43" s="266">
        <f t="shared" si="93"/>
        <v>1.08</v>
      </c>
      <c r="AB43" s="266">
        <f t="shared" si="99"/>
        <v>-12420</v>
      </c>
      <c r="AC43" s="266">
        <f>-'2-REGISTRACIONES'!K$74</f>
        <v>-11500</v>
      </c>
      <c r="AD43" s="266">
        <f t="shared" si="94"/>
        <v>1.06</v>
      </c>
      <c r="AE43" s="266">
        <f t="shared" si="84"/>
        <v>-12190</v>
      </c>
      <c r="AF43" s="266">
        <f>-'2-REGISTRACIONES'!L$74</f>
        <v>-11500</v>
      </c>
      <c r="AG43" s="266">
        <f t="shared" si="95"/>
        <v>1.05</v>
      </c>
      <c r="AH43" s="266">
        <f t="shared" si="85"/>
        <v>-12075</v>
      </c>
      <c r="AI43" s="266">
        <f>-'2-REGISTRACIONES'!M$74</f>
        <v>-11500</v>
      </c>
      <c r="AJ43" s="266">
        <f t="shared" si="96"/>
        <v>1.03</v>
      </c>
      <c r="AK43" s="266">
        <f t="shared" si="86"/>
        <v>-11845</v>
      </c>
      <c r="AL43" s="266">
        <f>-'2-REGISTRACIONES'!N$74</f>
        <v>-17250</v>
      </c>
      <c r="AM43" s="266">
        <f t="shared" si="100"/>
        <v>-17250</v>
      </c>
      <c r="AN43" s="148">
        <f t="shared" si="77"/>
        <v>-138250</v>
      </c>
      <c r="AO43">
        <v>-138250</v>
      </c>
      <c r="AP43" s="3">
        <f t="shared" si="11"/>
        <v>0</v>
      </c>
      <c r="AQ43" s="148">
        <f t="shared" si="78"/>
        <v>-152480</v>
      </c>
    </row>
    <row r="44" spans="1:43" x14ac:dyDescent="0.25">
      <c r="A44" s="34" t="s">
        <v>165</v>
      </c>
      <c r="B44" s="266"/>
      <c r="C44" s="266"/>
      <c r="D44" s="266"/>
      <c r="E44" s="266">
        <f>-'2-REGISTRACIONES'!C$76</f>
        <v>-8000</v>
      </c>
      <c r="F44" s="266">
        <f t="shared" si="97"/>
        <v>1.23</v>
      </c>
      <c r="G44" s="266">
        <f t="shared" si="75"/>
        <v>-9840</v>
      </c>
      <c r="H44" s="266">
        <f>-'2-REGISTRACIONES'!D$76</f>
        <v>-8000</v>
      </c>
      <c r="I44" s="266">
        <f t="shared" si="87"/>
        <v>1.2</v>
      </c>
      <c r="J44" s="266">
        <f t="shared" si="79"/>
        <v>-9600</v>
      </c>
      <c r="K44" s="266">
        <f>-'2-REGISTRACIONES'!E$76</f>
        <v>-8000</v>
      </c>
      <c r="L44" s="266">
        <f t="shared" si="88"/>
        <v>1.18</v>
      </c>
      <c r="M44" s="266">
        <f t="shared" si="80"/>
        <v>-9440</v>
      </c>
      <c r="N44" s="266">
        <f>-'2-REGISTRACIONES'!F$76</f>
        <v>-8000</v>
      </c>
      <c r="O44" s="266">
        <f t="shared" si="89"/>
        <v>1.1499999999999999</v>
      </c>
      <c r="P44" s="266">
        <f t="shared" si="81"/>
        <v>-9200</v>
      </c>
      <c r="Q44" s="266">
        <f>-'2-REGISTRACIONES'!G$76</f>
        <v>-8000</v>
      </c>
      <c r="R44" s="266">
        <f t="shared" si="90"/>
        <v>1.1299999999999999</v>
      </c>
      <c r="S44" s="266">
        <f t="shared" si="98"/>
        <v>-9040</v>
      </c>
      <c r="T44" s="266">
        <f>-'2-REGISTRACIONES'!H$76</f>
        <v>-12000</v>
      </c>
      <c r="U44" s="266">
        <f t="shared" si="91"/>
        <v>1.1200000000000001</v>
      </c>
      <c r="V44" s="266">
        <f t="shared" si="82"/>
        <v>-13440.000000000002</v>
      </c>
      <c r="W44" s="266">
        <f>-'2-REGISTRACIONES'!I$76</f>
        <v>-8000</v>
      </c>
      <c r="X44" s="266">
        <f t="shared" si="92"/>
        <v>1.1000000000000001</v>
      </c>
      <c r="Y44" s="266">
        <f t="shared" si="83"/>
        <v>-8800</v>
      </c>
      <c r="Z44" s="266">
        <f>-'2-REGISTRACIONES'!J$76</f>
        <v>-9200</v>
      </c>
      <c r="AA44" s="266">
        <f t="shared" si="93"/>
        <v>1.08</v>
      </c>
      <c r="AB44" s="266">
        <f t="shared" si="99"/>
        <v>-9936</v>
      </c>
      <c r="AC44" s="266">
        <f>-'2-REGISTRACIONES'!K$76</f>
        <v>-9200</v>
      </c>
      <c r="AD44" s="266">
        <f t="shared" si="94"/>
        <v>1.06</v>
      </c>
      <c r="AE44" s="266">
        <f t="shared" si="84"/>
        <v>-9752</v>
      </c>
      <c r="AF44" s="266">
        <f>-'2-REGISTRACIONES'!L$76</f>
        <v>-9200</v>
      </c>
      <c r="AG44" s="266">
        <f t="shared" si="95"/>
        <v>1.05</v>
      </c>
      <c r="AH44" s="266">
        <f t="shared" si="85"/>
        <v>-9660</v>
      </c>
      <c r="AI44" s="266">
        <f>-'2-REGISTRACIONES'!M$76</f>
        <v>-9200</v>
      </c>
      <c r="AJ44" s="266">
        <f t="shared" si="96"/>
        <v>1.03</v>
      </c>
      <c r="AK44" s="266">
        <f t="shared" si="86"/>
        <v>-9476</v>
      </c>
      <c r="AL44" s="266">
        <f>-'2-REGISTRACIONES'!N$76</f>
        <v>-13800</v>
      </c>
      <c r="AM44" s="266">
        <f t="shared" si="100"/>
        <v>-13800</v>
      </c>
      <c r="AN44" s="148">
        <f t="shared" si="77"/>
        <v>-110600</v>
      </c>
      <c r="AO44">
        <v>-110600</v>
      </c>
      <c r="AP44" s="3">
        <f t="shared" si="11"/>
        <v>0</v>
      </c>
      <c r="AQ44" s="148">
        <f t="shared" si="78"/>
        <v>-121984</v>
      </c>
    </row>
    <row r="45" spans="1:43" x14ac:dyDescent="0.25">
      <c r="A45" s="34" t="s">
        <v>167</v>
      </c>
      <c r="B45" s="266"/>
      <c r="C45" s="266"/>
      <c r="D45" s="266"/>
      <c r="E45" s="266">
        <f>-'2-REGISTRACIONES'!C$75</f>
        <v>-3300</v>
      </c>
      <c r="F45" s="266">
        <f t="shared" si="97"/>
        <v>1.23</v>
      </c>
      <c r="G45" s="266">
        <f t="shared" si="75"/>
        <v>-4059</v>
      </c>
      <c r="H45" s="266">
        <f>-'2-REGISTRACIONES'!D$75</f>
        <v>-3300</v>
      </c>
      <c r="I45" s="266">
        <f t="shared" si="87"/>
        <v>1.2</v>
      </c>
      <c r="J45" s="266">
        <f t="shared" si="79"/>
        <v>-3960</v>
      </c>
      <c r="K45" s="266">
        <f>-'2-REGISTRACIONES'!E$75</f>
        <v>-3300</v>
      </c>
      <c r="L45" s="266">
        <f t="shared" si="88"/>
        <v>1.18</v>
      </c>
      <c r="M45" s="266">
        <f t="shared" si="80"/>
        <v>-3894</v>
      </c>
      <c r="N45" s="266">
        <f>-'2-REGISTRACIONES'!F$75</f>
        <v>-3300</v>
      </c>
      <c r="O45" s="266">
        <f t="shared" si="89"/>
        <v>1.1499999999999999</v>
      </c>
      <c r="P45" s="266">
        <f t="shared" si="81"/>
        <v>-3794.9999999999995</v>
      </c>
      <c r="Q45" s="266">
        <f>-'2-REGISTRACIONES'!G$75</f>
        <v>-3300</v>
      </c>
      <c r="R45" s="266">
        <f t="shared" si="90"/>
        <v>1.1299999999999999</v>
      </c>
      <c r="S45" s="266">
        <f t="shared" si="98"/>
        <v>-3728.9999999999995</v>
      </c>
      <c r="T45" s="266">
        <f>-'2-REGISTRACIONES'!H$75</f>
        <v>-4950</v>
      </c>
      <c r="U45" s="266">
        <f t="shared" si="91"/>
        <v>1.1200000000000001</v>
      </c>
      <c r="V45" s="266">
        <f t="shared" si="82"/>
        <v>-5544.0000000000009</v>
      </c>
      <c r="W45" s="266">
        <f>-'2-REGISTRACIONES'!I$75</f>
        <v>-3300</v>
      </c>
      <c r="X45" s="266">
        <f t="shared" si="92"/>
        <v>1.1000000000000001</v>
      </c>
      <c r="Y45" s="266">
        <f t="shared" si="83"/>
        <v>-3630.0000000000005</v>
      </c>
      <c r="Z45" s="266">
        <f>-'2-REGISTRACIONES'!J$75</f>
        <v>-3795</v>
      </c>
      <c r="AA45" s="266">
        <f t="shared" si="93"/>
        <v>1.08</v>
      </c>
      <c r="AB45" s="266">
        <f t="shared" si="99"/>
        <v>-4098.6000000000004</v>
      </c>
      <c r="AC45" s="266">
        <f>-'2-REGISTRACIONES'!K$75</f>
        <v>-3795</v>
      </c>
      <c r="AD45" s="266">
        <f t="shared" si="94"/>
        <v>1.06</v>
      </c>
      <c r="AE45" s="266">
        <f t="shared" si="84"/>
        <v>-4022.7000000000003</v>
      </c>
      <c r="AF45" s="266">
        <f>-'2-REGISTRACIONES'!L$75</f>
        <v>-3795</v>
      </c>
      <c r="AG45" s="266">
        <f t="shared" si="95"/>
        <v>1.05</v>
      </c>
      <c r="AH45" s="266">
        <f t="shared" si="85"/>
        <v>-3984.75</v>
      </c>
      <c r="AI45" s="266">
        <f>-'2-REGISTRACIONES'!M$75</f>
        <v>-3795</v>
      </c>
      <c r="AJ45" s="266">
        <f t="shared" si="96"/>
        <v>1.03</v>
      </c>
      <c r="AK45" s="266">
        <f t="shared" si="86"/>
        <v>-3908.85</v>
      </c>
      <c r="AL45" s="266">
        <f>-'2-REGISTRACIONES'!N$75</f>
        <v>-5692.5</v>
      </c>
      <c r="AM45" s="266">
        <f t="shared" si="100"/>
        <v>-5692.5</v>
      </c>
      <c r="AN45" s="148">
        <f t="shared" si="77"/>
        <v>-45622.5</v>
      </c>
      <c r="AO45">
        <v>-45622.5</v>
      </c>
      <c r="AP45" s="3">
        <f t="shared" si="11"/>
        <v>0</v>
      </c>
      <c r="AQ45" s="148">
        <f t="shared" si="78"/>
        <v>-50318.399999999994</v>
      </c>
    </row>
    <row r="46" spans="1:43" x14ac:dyDescent="0.25">
      <c r="A46" s="34" t="s">
        <v>166</v>
      </c>
      <c r="B46" s="266"/>
      <c r="C46" s="266"/>
      <c r="D46" s="266"/>
      <c r="E46" s="266">
        <f>-'2-REGISTRACIONES'!C$77</f>
        <v>-2640</v>
      </c>
      <c r="F46" s="266">
        <f t="shared" si="97"/>
        <v>1.23</v>
      </c>
      <c r="G46" s="266">
        <f t="shared" si="75"/>
        <v>-3247.2</v>
      </c>
      <c r="H46" s="266">
        <f>-'2-REGISTRACIONES'!D$77</f>
        <v>-2640</v>
      </c>
      <c r="I46" s="266">
        <f t="shared" si="87"/>
        <v>1.2</v>
      </c>
      <c r="J46" s="266">
        <f t="shared" si="79"/>
        <v>-3168</v>
      </c>
      <c r="K46" s="266">
        <f>-'2-REGISTRACIONES'!E$77</f>
        <v>-2640</v>
      </c>
      <c r="L46" s="266">
        <f t="shared" si="88"/>
        <v>1.18</v>
      </c>
      <c r="M46" s="266">
        <f t="shared" si="80"/>
        <v>-3115.2</v>
      </c>
      <c r="N46" s="266">
        <f>-'2-REGISTRACIONES'!F$77</f>
        <v>-2640</v>
      </c>
      <c r="O46" s="266">
        <f t="shared" si="89"/>
        <v>1.1499999999999999</v>
      </c>
      <c r="P46" s="266">
        <f t="shared" si="81"/>
        <v>-3035.9999999999995</v>
      </c>
      <c r="Q46" s="266">
        <f>-'2-REGISTRACIONES'!G$77</f>
        <v>-2640</v>
      </c>
      <c r="R46" s="266">
        <f t="shared" si="90"/>
        <v>1.1299999999999999</v>
      </c>
      <c r="S46" s="266">
        <f t="shared" si="98"/>
        <v>-2983.2</v>
      </c>
      <c r="T46" s="266">
        <f>-'2-REGISTRACIONES'!H$77</f>
        <v>-3960</v>
      </c>
      <c r="U46" s="266">
        <f t="shared" si="91"/>
        <v>1.1200000000000001</v>
      </c>
      <c r="V46" s="266">
        <f t="shared" si="82"/>
        <v>-4435.2000000000007</v>
      </c>
      <c r="W46" s="266">
        <f>-'2-REGISTRACIONES'!I$77</f>
        <v>-2640</v>
      </c>
      <c r="X46" s="266">
        <f t="shared" si="92"/>
        <v>1.1000000000000001</v>
      </c>
      <c r="Y46" s="266">
        <f t="shared" si="83"/>
        <v>-2904.0000000000005</v>
      </c>
      <c r="Z46" s="266">
        <f>-'2-REGISTRACIONES'!J$77</f>
        <v>-3036</v>
      </c>
      <c r="AA46" s="266">
        <f t="shared" si="93"/>
        <v>1.08</v>
      </c>
      <c r="AB46" s="266">
        <f t="shared" si="99"/>
        <v>-3278.88</v>
      </c>
      <c r="AC46" s="266">
        <f>-'2-REGISTRACIONES'!K$77</f>
        <v>-3036</v>
      </c>
      <c r="AD46" s="266">
        <f t="shared" si="94"/>
        <v>1.06</v>
      </c>
      <c r="AE46" s="266">
        <f t="shared" si="84"/>
        <v>-3218.1600000000003</v>
      </c>
      <c r="AF46" s="266">
        <f>-'2-REGISTRACIONES'!L$77</f>
        <v>-3036</v>
      </c>
      <c r="AG46" s="266">
        <f t="shared" si="95"/>
        <v>1.05</v>
      </c>
      <c r="AH46" s="266">
        <f t="shared" si="85"/>
        <v>-3187.8</v>
      </c>
      <c r="AI46" s="266">
        <f>-'2-REGISTRACIONES'!M$77</f>
        <v>-3036</v>
      </c>
      <c r="AJ46" s="266">
        <f t="shared" si="96"/>
        <v>1.03</v>
      </c>
      <c r="AK46" s="266">
        <f t="shared" si="86"/>
        <v>-3127.08</v>
      </c>
      <c r="AL46" s="266">
        <f>-'2-REGISTRACIONES'!N$77</f>
        <v>-4554</v>
      </c>
      <c r="AM46" s="266">
        <f t="shared" si="100"/>
        <v>-4554</v>
      </c>
      <c r="AN46" s="148">
        <f t="shared" si="77"/>
        <v>-36498</v>
      </c>
      <c r="AO46">
        <v>-36498</v>
      </c>
      <c r="AP46" s="3">
        <f t="shared" si="11"/>
        <v>0</v>
      </c>
      <c r="AQ46" s="148">
        <f t="shared" si="78"/>
        <v>-40254.720000000001</v>
      </c>
    </row>
    <row r="47" spans="1:43" x14ac:dyDescent="0.25">
      <c r="A47" s="34" t="s">
        <v>168</v>
      </c>
      <c r="B47" s="266"/>
      <c r="C47" s="266"/>
      <c r="D47" s="266"/>
      <c r="E47" s="266">
        <f>-'2-REGISTRACIONES'!C$112</f>
        <v>-4278.42</v>
      </c>
      <c r="F47" s="266">
        <f t="shared" si="97"/>
        <v>1.23</v>
      </c>
      <c r="G47" s="266">
        <f t="shared" si="75"/>
        <v>-5262.4566000000004</v>
      </c>
      <c r="H47" s="266">
        <f>-'2-REGISTRACIONES'!D$112</f>
        <v>-3785.94</v>
      </c>
      <c r="I47" s="266">
        <f t="shared" si="87"/>
        <v>1.2</v>
      </c>
      <c r="J47" s="266">
        <f t="shared" si="79"/>
        <v>-4543.1279999999997</v>
      </c>
      <c r="K47" s="266">
        <f>-'2-REGISTRACIONES'!E$112</f>
        <v>-3437.91</v>
      </c>
      <c r="L47" s="266">
        <f t="shared" si="88"/>
        <v>1.18</v>
      </c>
      <c r="M47" s="266">
        <f t="shared" si="80"/>
        <v>-4056.7337999999995</v>
      </c>
      <c r="N47" s="266">
        <f>-'2-REGISTRACIONES'!F$112</f>
        <v>-4433.9399999999996</v>
      </c>
      <c r="O47" s="266">
        <f t="shared" si="89"/>
        <v>1.1499999999999999</v>
      </c>
      <c r="P47" s="266">
        <f t="shared" si="81"/>
        <v>-5099.030999999999</v>
      </c>
      <c r="Q47" s="266">
        <f>-'2-REGISTRACIONES'!G$112</f>
        <v>-4050</v>
      </c>
      <c r="R47" s="266">
        <f t="shared" si="90"/>
        <v>1.1299999999999999</v>
      </c>
      <c r="S47" s="266">
        <f t="shared" si="98"/>
        <v>-4576.5</v>
      </c>
      <c r="T47" s="266">
        <f>-'2-REGISTRACIONES'!H$112</f>
        <v>-4966.92</v>
      </c>
      <c r="U47" s="266">
        <f t="shared" si="91"/>
        <v>1.1200000000000001</v>
      </c>
      <c r="V47" s="266">
        <f t="shared" si="82"/>
        <v>-5562.9504000000006</v>
      </c>
      <c r="W47" s="266">
        <f>-'2-REGISTRACIONES'!I$112</f>
        <v>-5712.12</v>
      </c>
      <c r="X47" s="266">
        <f t="shared" si="92"/>
        <v>1.1000000000000001</v>
      </c>
      <c r="Y47" s="266">
        <f t="shared" si="83"/>
        <v>-6283.3320000000003</v>
      </c>
      <c r="Z47" s="266">
        <f>-'2-REGISTRACIONES'!J$112</f>
        <v>-5788.8</v>
      </c>
      <c r="AA47" s="266">
        <f t="shared" si="93"/>
        <v>1.08</v>
      </c>
      <c r="AB47" s="266">
        <f t="shared" si="99"/>
        <v>-6251.9040000000005</v>
      </c>
      <c r="AC47" s="266">
        <f>-'2-REGISTRACIONES'!K$112</f>
        <v>-5924.34</v>
      </c>
      <c r="AD47" s="266">
        <f t="shared" si="94"/>
        <v>1.06</v>
      </c>
      <c r="AE47" s="266">
        <f t="shared" si="84"/>
        <v>-6279.8004000000001</v>
      </c>
      <c r="AF47" s="266">
        <f>-'2-REGISTRACIONES'!L$112</f>
        <v>-6073.38</v>
      </c>
      <c r="AG47" s="266">
        <f t="shared" si="95"/>
        <v>1.05</v>
      </c>
      <c r="AH47" s="266">
        <f t="shared" si="85"/>
        <v>-6377.049</v>
      </c>
      <c r="AI47" s="266">
        <f>-'2-REGISTRACIONES'!M$112</f>
        <v>-6433.83</v>
      </c>
      <c r="AJ47" s="266">
        <f t="shared" si="96"/>
        <v>1.03</v>
      </c>
      <c r="AK47" s="266">
        <f t="shared" si="86"/>
        <v>-6626.8449000000001</v>
      </c>
      <c r="AL47" s="266">
        <f>-'2-REGISTRACIONES'!N$112</f>
        <v>-7410.96</v>
      </c>
      <c r="AM47" s="266">
        <f t="shared" si="100"/>
        <v>-7410.96</v>
      </c>
      <c r="AN47" s="148">
        <f t="shared" si="77"/>
        <v>-62296.56</v>
      </c>
      <c r="AO47">
        <v>-62296.56</v>
      </c>
      <c r="AP47" s="3">
        <f t="shared" si="11"/>
        <v>0</v>
      </c>
      <c r="AQ47" s="148">
        <f t="shared" si="78"/>
        <v>-68330.690100000007</v>
      </c>
    </row>
    <row r="48" spans="1:43" x14ac:dyDescent="0.25">
      <c r="A48" s="34" t="s">
        <v>169</v>
      </c>
      <c r="B48" s="266"/>
      <c r="C48" s="266"/>
      <c r="D48" s="266"/>
      <c r="E48" s="266">
        <f>-'2-REGISTRACIONES'!C$113</f>
        <v>-356</v>
      </c>
      <c r="F48" s="266">
        <f t="shared" si="97"/>
        <v>1.23</v>
      </c>
      <c r="G48" s="266">
        <f t="shared" si="75"/>
        <v>-437.88</v>
      </c>
      <c r="H48" s="266">
        <f>-'2-REGISTRACIONES'!D$113</f>
        <v>-389</v>
      </c>
      <c r="I48" s="266">
        <f t="shared" si="87"/>
        <v>1.2</v>
      </c>
      <c r="J48" s="266">
        <f t="shared" si="79"/>
        <v>-466.79999999999995</v>
      </c>
      <c r="K48" s="266">
        <f>-'2-REGISTRACIONES'!E$113</f>
        <v>-432</v>
      </c>
      <c r="L48" s="266">
        <f t="shared" si="88"/>
        <v>1.18</v>
      </c>
      <c r="M48" s="266">
        <f t="shared" si="80"/>
        <v>-509.76</v>
      </c>
      <c r="N48" s="266">
        <f>-'2-REGISTRACIONES'!F$113</f>
        <v>-456</v>
      </c>
      <c r="O48" s="266">
        <f t="shared" si="89"/>
        <v>1.1499999999999999</v>
      </c>
      <c r="P48" s="266">
        <f t="shared" si="81"/>
        <v>-524.4</v>
      </c>
      <c r="Q48" s="266">
        <f>-'2-REGISTRACIONES'!G$113</f>
        <v>-459</v>
      </c>
      <c r="R48" s="266">
        <f t="shared" si="90"/>
        <v>1.1299999999999999</v>
      </c>
      <c r="S48" s="266">
        <f t="shared" si="98"/>
        <v>-518.66999999999996</v>
      </c>
      <c r="T48" s="266">
        <f>-'2-REGISTRACIONES'!H$113</f>
        <v>-472</v>
      </c>
      <c r="U48" s="266">
        <f t="shared" si="91"/>
        <v>1.1200000000000001</v>
      </c>
      <c r="V48" s="266">
        <f t="shared" si="82"/>
        <v>-528.6400000000001</v>
      </c>
      <c r="W48" s="266">
        <f>-'2-REGISTRACIONES'!I$113</f>
        <v>-475</v>
      </c>
      <c r="X48" s="266">
        <f t="shared" si="92"/>
        <v>1.1000000000000001</v>
      </c>
      <c r="Y48" s="266">
        <f t="shared" si="83"/>
        <v>-522.5</v>
      </c>
      <c r="Z48" s="266">
        <f>-'2-REGISTRACIONES'!J$113</f>
        <v>-478</v>
      </c>
      <c r="AA48" s="266">
        <f t="shared" si="93"/>
        <v>1.08</v>
      </c>
      <c r="AB48" s="266">
        <f t="shared" si="99"/>
        <v>-516.24</v>
      </c>
      <c r="AC48" s="266">
        <f>-'2-REGISTRACIONES'!K$113</f>
        <v>-483</v>
      </c>
      <c r="AD48" s="266">
        <f t="shared" si="94"/>
        <v>1.06</v>
      </c>
      <c r="AE48" s="266">
        <f t="shared" si="84"/>
        <v>-511.98</v>
      </c>
      <c r="AF48" s="266">
        <f>-'2-REGISTRACIONES'!L$113</f>
        <v>-486</v>
      </c>
      <c r="AG48" s="266">
        <f t="shared" si="95"/>
        <v>1.05</v>
      </c>
      <c r="AH48" s="266">
        <f t="shared" si="85"/>
        <v>-510.3</v>
      </c>
      <c r="AI48" s="266">
        <f>-'2-REGISTRACIONES'!M$113</f>
        <v>-486</v>
      </c>
      <c r="AJ48" s="266">
        <f t="shared" si="96"/>
        <v>1.03</v>
      </c>
      <c r="AK48" s="266">
        <f t="shared" si="86"/>
        <v>-500.58000000000004</v>
      </c>
      <c r="AL48" s="266">
        <f>-'2-REGISTRACIONES'!N$113</f>
        <v>-498</v>
      </c>
      <c r="AM48" s="266">
        <f t="shared" si="100"/>
        <v>-498</v>
      </c>
      <c r="AN48" s="148">
        <f t="shared" si="77"/>
        <v>-5470</v>
      </c>
      <c r="AO48">
        <v>-5470</v>
      </c>
      <c r="AP48" s="3">
        <f t="shared" si="11"/>
        <v>0</v>
      </c>
      <c r="AQ48" s="148">
        <f t="shared" si="78"/>
        <v>-6045.7500000000009</v>
      </c>
    </row>
    <row r="49" spans="1:43" x14ac:dyDescent="0.25">
      <c r="A49" s="34" t="s">
        <v>170</v>
      </c>
      <c r="B49" s="266"/>
      <c r="C49" s="266"/>
      <c r="D49" s="266"/>
      <c r="E49" s="266">
        <f>-'2-REGISTRACIONES'!$K$100</f>
        <v>-745.88333333333333</v>
      </c>
      <c r="F49" s="266">
        <f>$C$3</f>
        <v>1.25</v>
      </c>
      <c r="G49" s="266">
        <f t="shared" si="75"/>
        <v>-932.35416666666663</v>
      </c>
      <c r="H49" s="266">
        <f>-'2-REGISTRACIONES'!$D$100</f>
        <v>-745.88333333333333</v>
      </c>
      <c r="I49" s="266">
        <f>$C$3</f>
        <v>1.25</v>
      </c>
      <c r="J49" s="266">
        <f t="shared" si="79"/>
        <v>-932.35416666666663</v>
      </c>
      <c r="K49" s="266">
        <f>-'2-REGISTRACIONES'!$K$100</f>
        <v>-745.88333333333333</v>
      </c>
      <c r="L49" s="266">
        <f>$C$3</f>
        <v>1.25</v>
      </c>
      <c r="M49" s="266">
        <f t="shared" si="80"/>
        <v>-932.35416666666663</v>
      </c>
      <c r="N49" s="266">
        <f>-'2-REGISTRACIONES'!$K$100</f>
        <v>-745.88333333333333</v>
      </c>
      <c r="O49" s="266">
        <f>$C$3</f>
        <v>1.25</v>
      </c>
      <c r="P49" s="266">
        <f t="shared" si="81"/>
        <v>-932.35416666666663</v>
      </c>
      <c r="Q49" s="266">
        <f>-'2-REGISTRACIONES'!$K$100</f>
        <v>-745.88333333333333</v>
      </c>
      <c r="R49" s="266">
        <f>$C$3</f>
        <v>1.25</v>
      </c>
      <c r="S49" s="266">
        <f t="shared" si="98"/>
        <v>-932.35416666666663</v>
      </c>
      <c r="T49" s="266">
        <f>-'2-REGISTRACIONES'!$K$100</f>
        <v>-745.88333333333333</v>
      </c>
      <c r="U49" s="266">
        <f>$C$3</f>
        <v>1.25</v>
      </c>
      <c r="V49" s="266">
        <f t="shared" si="82"/>
        <v>-932.35416666666663</v>
      </c>
      <c r="W49" s="266">
        <f>-'2-REGISTRACIONES'!$K$100</f>
        <v>-745.88333333333333</v>
      </c>
      <c r="X49" s="266">
        <f>$C$3</f>
        <v>1.25</v>
      </c>
      <c r="Y49" s="266">
        <f t="shared" si="83"/>
        <v>-932.35416666666663</v>
      </c>
      <c r="Z49" s="266">
        <f>-'2-REGISTRACIONES'!$K$100</f>
        <v>-745.88333333333333</v>
      </c>
      <c r="AA49" s="266">
        <f>$C$3</f>
        <v>1.25</v>
      </c>
      <c r="AB49" s="266">
        <f t="shared" si="99"/>
        <v>-932.35416666666663</v>
      </c>
      <c r="AC49" s="266">
        <f>-'2-REGISTRACIONES'!$K$100</f>
        <v>-745.88333333333333</v>
      </c>
      <c r="AD49" s="266">
        <f>$C$3</f>
        <v>1.25</v>
      </c>
      <c r="AE49" s="266">
        <f t="shared" si="84"/>
        <v>-932.35416666666663</v>
      </c>
      <c r="AF49" s="266">
        <f>-'2-REGISTRACIONES'!$K$100</f>
        <v>-745.88333333333333</v>
      </c>
      <c r="AG49" s="266">
        <f>$C$3</f>
        <v>1.25</v>
      </c>
      <c r="AH49" s="266">
        <f t="shared" si="85"/>
        <v>-932.35416666666663</v>
      </c>
      <c r="AI49" s="266">
        <f>-'2-REGISTRACIONES'!$K$100</f>
        <v>-745.88333333333333</v>
      </c>
      <c r="AJ49" s="266">
        <f>$C$3</f>
        <v>1.25</v>
      </c>
      <c r="AK49" s="266">
        <f t="shared" si="86"/>
        <v>-932.35416666666663</v>
      </c>
      <c r="AL49" s="266">
        <f>-'2-REGISTRACIONES'!$K$100</f>
        <v>-745.88333333333333</v>
      </c>
      <c r="AM49" s="266">
        <f>+AM8</f>
        <v>-932.35416666666663</v>
      </c>
      <c r="AN49" s="148">
        <f t="shared" si="77"/>
        <v>-8950.6</v>
      </c>
      <c r="AO49">
        <v>-8950.6</v>
      </c>
      <c r="AP49" s="3">
        <f t="shared" si="11"/>
        <v>0</v>
      </c>
      <c r="AQ49" s="148">
        <f t="shared" si="78"/>
        <v>-11188.249999999998</v>
      </c>
    </row>
    <row r="50" spans="1:43" x14ac:dyDescent="0.25">
      <c r="A50" s="34" t="s">
        <v>171</v>
      </c>
      <c r="B50" s="266"/>
      <c r="C50" s="266"/>
      <c r="D50" s="266"/>
      <c r="E50" s="266">
        <f>-'2-REGISTRACIONES'!$K$97</f>
        <v>-819.625</v>
      </c>
      <c r="F50" s="266">
        <f t="shared" ref="F50:F51" si="101">$C$3</f>
        <v>1.25</v>
      </c>
      <c r="G50" s="266">
        <f t="shared" si="75"/>
        <v>-1024.53125</v>
      </c>
      <c r="H50" s="266">
        <f>-'2-REGISTRACIONES'!$K$97</f>
        <v>-819.625</v>
      </c>
      <c r="I50" s="266">
        <f t="shared" ref="I50:I51" si="102">$C$3</f>
        <v>1.25</v>
      </c>
      <c r="J50" s="266">
        <f t="shared" si="79"/>
        <v>-1024.53125</v>
      </c>
      <c r="K50" s="266">
        <f>-'2-REGISTRACIONES'!$K$97</f>
        <v>-819.625</v>
      </c>
      <c r="L50" s="266">
        <f t="shared" ref="L50:L51" si="103">$C$3</f>
        <v>1.25</v>
      </c>
      <c r="M50" s="266">
        <f t="shared" si="80"/>
        <v>-1024.53125</v>
      </c>
      <c r="N50" s="266">
        <f>-'2-REGISTRACIONES'!$K$97</f>
        <v>-819.625</v>
      </c>
      <c r="O50" s="266">
        <f t="shared" ref="O50:O51" si="104">$C$3</f>
        <v>1.25</v>
      </c>
      <c r="P50" s="266">
        <f t="shared" si="81"/>
        <v>-1024.53125</v>
      </c>
      <c r="Q50" s="266">
        <f>-'2-REGISTRACIONES'!$K$97</f>
        <v>-819.625</v>
      </c>
      <c r="R50" s="266">
        <f t="shared" ref="R50:R51" si="105">$C$3</f>
        <v>1.25</v>
      </c>
      <c r="S50" s="266">
        <f t="shared" si="98"/>
        <v>-1024.53125</v>
      </c>
      <c r="T50" s="266">
        <f>-'2-REGISTRACIONES'!$K$97</f>
        <v>-819.625</v>
      </c>
      <c r="U50" s="266">
        <f t="shared" ref="U50:U51" si="106">$C$3</f>
        <v>1.25</v>
      </c>
      <c r="V50" s="266">
        <f t="shared" si="82"/>
        <v>-1024.53125</v>
      </c>
      <c r="W50" s="266">
        <f>-'2-REGISTRACIONES'!$K$97</f>
        <v>-819.625</v>
      </c>
      <c r="X50" s="266">
        <f t="shared" ref="X50:X51" si="107">$C$3</f>
        <v>1.25</v>
      </c>
      <c r="Y50" s="266">
        <f t="shared" si="83"/>
        <v>-1024.53125</v>
      </c>
      <c r="Z50" s="266">
        <f>-'2-REGISTRACIONES'!$K$97</f>
        <v>-819.625</v>
      </c>
      <c r="AA50" s="266">
        <f t="shared" ref="AA50:AA51" si="108">$C$3</f>
        <v>1.25</v>
      </c>
      <c r="AB50" s="266">
        <f t="shared" si="99"/>
        <v>-1024.53125</v>
      </c>
      <c r="AC50" s="266">
        <f>-'2-REGISTRACIONES'!$K$97</f>
        <v>-819.625</v>
      </c>
      <c r="AD50" s="266">
        <f t="shared" ref="AD50:AD51" si="109">$C$3</f>
        <v>1.25</v>
      </c>
      <c r="AE50" s="266">
        <f t="shared" si="84"/>
        <v>-1024.53125</v>
      </c>
      <c r="AF50" s="266">
        <f>-'2-REGISTRACIONES'!$K$97</f>
        <v>-819.625</v>
      </c>
      <c r="AG50" s="266">
        <f t="shared" ref="AG50:AG51" si="110">$C$3</f>
        <v>1.25</v>
      </c>
      <c r="AH50" s="266">
        <f t="shared" si="85"/>
        <v>-1024.53125</v>
      </c>
      <c r="AI50" s="266">
        <f>-'2-REGISTRACIONES'!$K$97</f>
        <v>-819.625</v>
      </c>
      <c r="AJ50" s="266">
        <f t="shared" ref="AJ50:AJ51" si="111">$C$3</f>
        <v>1.25</v>
      </c>
      <c r="AK50" s="266">
        <f t="shared" si="86"/>
        <v>-1024.53125</v>
      </c>
      <c r="AL50" s="266">
        <f>-'2-REGISTRACIONES'!$K$97</f>
        <v>-819.625</v>
      </c>
      <c r="AM50" s="266">
        <f>+AM7</f>
        <v>-1024.53125</v>
      </c>
      <c r="AN50" s="148">
        <f t="shared" si="77"/>
        <v>-9835.5</v>
      </c>
      <c r="AO50">
        <v>-9835.5</v>
      </c>
      <c r="AP50" s="3">
        <f t="shared" si="11"/>
        <v>0</v>
      </c>
      <c r="AQ50" s="148">
        <f t="shared" si="78"/>
        <v>-12294.375</v>
      </c>
    </row>
    <row r="51" spans="1:43" x14ac:dyDescent="0.25">
      <c r="A51" s="34" t="s">
        <v>172</v>
      </c>
      <c r="B51" s="266"/>
      <c r="C51" s="266"/>
      <c r="D51" s="266"/>
      <c r="E51" s="266">
        <f>-'2-REGISTRACIONES'!$K$94</f>
        <v>-370.73333333333335</v>
      </c>
      <c r="F51" s="266">
        <f t="shared" si="101"/>
        <v>1.25</v>
      </c>
      <c r="G51" s="266">
        <f t="shared" si="75"/>
        <v>-463.41666666666669</v>
      </c>
      <c r="H51" s="266">
        <f>-'2-REGISTRACIONES'!$K$94</f>
        <v>-370.73333333333335</v>
      </c>
      <c r="I51" s="266">
        <f t="shared" si="102"/>
        <v>1.25</v>
      </c>
      <c r="J51" s="266">
        <f t="shared" si="79"/>
        <v>-463.41666666666669</v>
      </c>
      <c r="K51" s="266">
        <f>-'2-REGISTRACIONES'!$K$94</f>
        <v>-370.73333333333335</v>
      </c>
      <c r="L51" s="266">
        <f t="shared" si="103"/>
        <v>1.25</v>
      </c>
      <c r="M51" s="266">
        <f t="shared" si="80"/>
        <v>-463.41666666666669</v>
      </c>
      <c r="N51" s="266">
        <f>-'2-REGISTRACIONES'!$K$94</f>
        <v>-370.73333333333335</v>
      </c>
      <c r="O51" s="266">
        <f t="shared" si="104"/>
        <v>1.25</v>
      </c>
      <c r="P51" s="266">
        <f t="shared" si="81"/>
        <v>-463.41666666666669</v>
      </c>
      <c r="Q51" s="266">
        <f>-'2-REGISTRACIONES'!$K$94</f>
        <v>-370.73333333333335</v>
      </c>
      <c r="R51" s="266">
        <f t="shared" si="105"/>
        <v>1.25</v>
      </c>
      <c r="S51" s="266">
        <f t="shared" si="98"/>
        <v>-463.41666666666669</v>
      </c>
      <c r="T51" s="266">
        <f>-'2-REGISTRACIONES'!$K$94</f>
        <v>-370.73333333333335</v>
      </c>
      <c r="U51" s="266">
        <f t="shared" si="106"/>
        <v>1.25</v>
      </c>
      <c r="V51" s="266">
        <f t="shared" si="82"/>
        <v>-463.41666666666669</v>
      </c>
      <c r="W51" s="266">
        <f>-'2-REGISTRACIONES'!$K$94</f>
        <v>-370.73333333333335</v>
      </c>
      <c r="X51" s="266">
        <f t="shared" si="107"/>
        <v>1.25</v>
      </c>
      <c r="Y51" s="266">
        <f t="shared" si="83"/>
        <v>-463.41666666666669</v>
      </c>
      <c r="Z51" s="266">
        <f>-'2-REGISTRACIONES'!$K$94</f>
        <v>-370.73333333333335</v>
      </c>
      <c r="AA51" s="266">
        <f t="shared" si="108"/>
        <v>1.25</v>
      </c>
      <c r="AB51" s="266">
        <f t="shared" si="99"/>
        <v>-463.41666666666669</v>
      </c>
      <c r="AC51" s="266">
        <f>-'2-REGISTRACIONES'!$K$94</f>
        <v>-370.73333333333335</v>
      </c>
      <c r="AD51" s="266">
        <f t="shared" si="109"/>
        <v>1.25</v>
      </c>
      <c r="AE51" s="266">
        <f t="shared" si="84"/>
        <v>-463.41666666666669</v>
      </c>
      <c r="AF51" s="266">
        <f>-'2-REGISTRACIONES'!$K$94</f>
        <v>-370.73333333333335</v>
      </c>
      <c r="AG51" s="266">
        <f t="shared" si="110"/>
        <v>1.25</v>
      </c>
      <c r="AH51" s="266">
        <f t="shared" si="85"/>
        <v>-463.41666666666669</v>
      </c>
      <c r="AI51" s="266">
        <f>-'2-REGISTRACIONES'!$K$94</f>
        <v>-370.73333333333335</v>
      </c>
      <c r="AJ51" s="266">
        <f t="shared" si="111"/>
        <v>1.25</v>
      </c>
      <c r="AK51" s="266">
        <f t="shared" si="86"/>
        <v>-463.41666666666669</v>
      </c>
      <c r="AL51" s="266">
        <f>-'2-REGISTRACIONES'!$K$94</f>
        <v>-370.73333333333335</v>
      </c>
      <c r="AM51" s="266">
        <f>+AM6</f>
        <v>-463.41666666666669</v>
      </c>
      <c r="AN51" s="148">
        <f t="shared" si="77"/>
        <v>-4448.8000000000011</v>
      </c>
      <c r="AO51">
        <v>-4448.8000000000011</v>
      </c>
      <c r="AP51" s="3">
        <f t="shared" si="11"/>
        <v>0</v>
      </c>
      <c r="AQ51" s="148">
        <f t="shared" si="78"/>
        <v>-5561.0000000000009</v>
      </c>
    </row>
    <row r="52" spans="1:43" x14ac:dyDescent="0.25">
      <c r="A52" s="34" t="s">
        <v>257</v>
      </c>
      <c r="B52" s="266"/>
      <c r="C52" s="266"/>
      <c r="D52" s="266">
        <f>+D58</f>
        <v>-61594</v>
      </c>
      <c r="E52" s="266"/>
      <c r="F52" s="266"/>
      <c r="G52" s="266">
        <f>+G62</f>
        <v>2500.6565999999993</v>
      </c>
      <c r="H52" s="266"/>
      <c r="I52" s="266"/>
      <c r="J52" s="266">
        <f>+J62</f>
        <v>204.58800000000292</v>
      </c>
      <c r="K52" s="266"/>
      <c r="L52" s="266"/>
      <c r="M52" s="266">
        <f>+M62</f>
        <v>1494.8838000000003</v>
      </c>
      <c r="N52" s="266"/>
      <c r="O52" s="266"/>
      <c r="P52" s="266">
        <f>+P62</f>
        <v>-1821.6089999999976</v>
      </c>
      <c r="Q52" s="266"/>
      <c r="R52" s="266"/>
      <c r="S52" s="266">
        <f>+S62</f>
        <v>-4742.9199999999955</v>
      </c>
      <c r="T52" s="266"/>
      <c r="U52" s="266"/>
      <c r="V52" s="266">
        <f>+V62</f>
        <v>65.3904</v>
      </c>
      <c r="W52" s="266"/>
      <c r="X52" s="266"/>
      <c r="Y52" s="266">
        <f>+Y62</f>
        <v>-4123.1880000000019</v>
      </c>
      <c r="Z52" s="266"/>
      <c r="AA52" s="266"/>
      <c r="AB52" s="266">
        <f>+AB62</f>
        <v>-2775.1360000000032</v>
      </c>
      <c r="AC52" s="266"/>
      <c r="AD52" s="266"/>
      <c r="AE52" s="266">
        <f>+AE62</f>
        <v>-1628.5596000000019</v>
      </c>
      <c r="AF52" s="266"/>
      <c r="AG52" s="266"/>
      <c r="AH52" s="266">
        <f>+AH62</f>
        <v>-1579.8810000000019</v>
      </c>
      <c r="AI52" s="266"/>
      <c r="AJ52" s="266"/>
      <c r="AK52" s="266">
        <f>+AK66</f>
        <v>5890.4184000000059</v>
      </c>
      <c r="AL52" s="266"/>
      <c r="AM52" s="266">
        <v>0</v>
      </c>
      <c r="AN52" s="148"/>
      <c r="AO52">
        <v>0</v>
      </c>
      <c r="AP52" s="3">
        <f t="shared" si="11"/>
        <v>0</v>
      </c>
      <c r="AQ52" s="148">
        <f t="shared" si="78"/>
        <v>-68109.35639999999</v>
      </c>
    </row>
    <row r="53" spans="1:43" s="106" customFormat="1" x14ac:dyDescent="0.25">
      <c r="A53" s="267" t="s">
        <v>176</v>
      </c>
      <c r="B53" s="235">
        <f>SUM(B24:B52)</f>
        <v>-224800</v>
      </c>
      <c r="C53" s="235"/>
      <c r="D53" s="235">
        <f t="shared" ref="D53:E53" si="112">SUM(D24:D52)</f>
        <v>-342594</v>
      </c>
      <c r="E53" s="235">
        <f t="shared" si="112"/>
        <v>-12808.661666666667</v>
      </c>
      <c r="F53" s="235"/>
      <c r="G53" s="235">
        <f>SUM(G24:G52)</f>
        <v>-13292.722083333338</v>
      </c>
      <c r="H53" s="235">
        <f>SUM(H24:H52)</f>
        <v>-2959.1816666666664</v>
      </c>
      <c r="I53" s="235"/>
      <c r="J53" s="235">
        <f>SUM(J24:J52)</f>
        <v>-3443.2420833333213</v>
      </c>
      <c r="K53" s="235">
        <f t="shared" ref="K53" si="113">SUM(K24:K52)</f>
        <v>-10241.151666666667</v>
      </c>
      <c r="L53" s="235"/>
      <c r="M53" s="235">
        <f>SUM(M24:M52)</f>
        <v>-10725.212083333334</v>
      </c>
      <c r="N53" s="235">
        <f t="shared" ref="N53" si="114">SUM(N24:N52)</f>
        <v>10207.818333333335</v>
      </c>
      <c r="O53" s="235"/>
      <c r="P53" s="235">
        <f>SUM(P24:P52)</f>
        <v>9723.7579166666765</v>
      </c>
      <c r="Q53" s="235">
        <f>SUM(Q24:Q52)</f>
        <v>34547.758333333339</v>
      </c>
      <c r="R53" s="235"/>
      <c r="S53" s="235">
        <f>SUM(S24:S52)</f>
        <v>34063.697916666672</v>
      </c>
      <c r="T53" s="235">
        <f>SUM(T24:T52)</f>
        <v>-2481.1616666666669</v>
      </c>
      <c r="U53" s="235"/>
      <c r="V53" s="235">
        <f t="shared" ref="V53" si="115">SUM(V24:V52)</f>
        <v>-2965.2220833333349</v>
      </c>
      <c r="W53" s="235">
        <f>SUM(W24:W52)</f>
        <v>39295.638333333336</v>
      </c>
      <c r="X53" s="235"/>
      <c r="Y53" s="235">
        <f t="shared" ref="Y53" si="116">SUM(Y24:Y52)</f>
        <v>38811.577916666676</v>
      </c>
      <c r="Z53" s="235">
        <f>SUM(Z24:Z52)</f>
        <v>32752.958333333332</v>
      </c>
      <c r="AA53" s="235"/>
      <c r="AB53" s="235">
        <f>SUM(AB24:AB52)</f>
        <v>32268.897916666694</v>
      </c>
      <c r="AC53" s="235">
        <f>SUM(AC24:AC52)</f>
        <v>25206.418333333331</v>
      </c>
      <c r="AD53" s="235"/>
      <c r="AE53" s="235">
        <f t="shared" ref="AE53" si="117">SUM(AE24:AE52)</f>
        <v>24722.357916666679</v>
      </c>
      <c r="AF53" s="235">
        <f>SUM(AF24:AF52)</f>
        <v>42771.378333333341</v>
      </c>
      <c r="AG53" s="235"/>
      <c r="AH53" s="235">
        <f t="shared" ref="AH53" si="118">SUM(AH24:AH52)</f>
        <v>42942.817916666689</v>
      </c>
      <c r="AI53" s="235">
        <f>SUM(AI24:AI52)</f>
        <v>156052.36883333334</v>
      </c>
      <c r="AJ53" s="235"/>
      <c r="AK53" s="235">
        <f t="shared" ref="AK53" si="119">SUM(AK24:AK52)</f>
        <v>159375.30841666672</v>
      </c>
      <c r="AL53" s="235">
        <f>SUM(AL24:AL52)</f>
        <v>186878.29833333334</v>
      </c>
      <c r="AM53" s="235">
        <f>SUM(AM24:AM52)</f>
        <v>162369.23791666669</v>
      </c>
      <c r="AN53" s="150">
        <f>SUM(AN24:AN52)</f>
        <v>274422.48050000006</v>
      </c>
      <c r="AO53" s="106">
        <v>255412.4800000001</v>
      </c>
      <c r="AP53" s="3">
        <f t="shared" si="11"/>
        <v>19010.000499999966</v>
      </c>
      <c r="AQ53" s="150">
        <f>SUM(AQ24:AQ52)</f>
        <v>131257.25550000003</v>
      </c>
    </row>
    <row r="54" spans="1:43" s="106" customFormat="1" x14ac:dyDescent="0.25">
      <c r="A54" s="243" t="s">
        <v>173</v>
      </c>
      <c r="B54" s="266"/>
      <c r="C54" s="266"/>
      <c r="D54" s="266"/>
      <c r="E54" s="266"/>
      <c r="F54" s="266"/>
      <c r="G54" s="266"/>
      <c r="H54" s="266"/>
      <c r="I54" s="266"/>
      <c r="J54" s="266"/>
      <c r="K54" s="266"/>
      <c r="L54" s="266"/>
      <c r="M54" s="266"/>
      <c r="N54" s="266"/>
      <c r="O54" s="266"/>
      <c r="P54" s="266"/>
      <c r="Q54" s="266"/>
      <c r="R54" s="266"/>
      <c r="S54" s="266"/>
      <c r="T54" s="266"/>
      <c r="U54" s="266"/>
      <c r="V54" s="266"/>
      <c r="W54" s="266"/>
      <c r="X54" s="266"/>
      <c r="Y54" s="266"/>
      <c r="Z54" s="266"/>
      <c r="AA54" s="266"/>
      <c r="AB54" s="266"/>
      <c r="AC54" s="266"/>
      <c r="AD54" s="266"/>
      <c r="AE54" s="266"/>
      <c r="AF54" s="266"/>
      <c r="AG54" s="266"/>
      <c r="AH54" s="266"/>
      <c r="AI54" s="266"/>
      <c r="AJ54" s="266"/>
      <c r="AK54" s="266"/>
      <c r="AL54" s="266">
        <f>+AN54</f>
        <v>-96047.868175000011</v>
      </c>
      <c r="AM54" s="266">
        <f>+AQ54</f>
        <v>-45940.03942500001</v>
      </c>
      <c r="AN54" s="150">
        <f>-AN53*0.35</f>
        <v>-96047.868175000011</v>
      </c>
      <c r="AO54" s="106">
        <v>-89394.368000000031</v>
      </c>
      <c r="AP54" s="3">
        <f t="shared" si="11"/>
        <v>-6653.5001749999792</v>
      </c>
      <c r="AQ54" s="150">
        <f>-AQ53*0.35</f>
        <v>-45940.03942500001</v>
      </c>
    </row>
    <row r="55" spans="1:43" s="106" customFormat="1" ht="15.75" thickBot="1" x14ac:dyDescent="0.3">
      <c r="A55" s="242" t="s">
        <v>174</v>
      </c>
      <c r="B55" s="235">
        <f>+B53+B54</f>
        <v>-224800</v>
      </c>
      <c r="C55" s="235"/>
      <c r="D55" s="235">
        <f t="shared" ref="D55" si="120">+D53+D54</f>
        <v>-342594</v>
      </c>
      <c r="E55" s="235">
        <f>+E53+E54</f>
        <v>-12808.661666666667</v>
      </c>
      <c r="F55" s="235"/>
      <c r="G55" s="235">
        <f>+G53</f>
        <v>-13292.722083333338</v>
      </c>
      <c r="H55" s="235">
        <f>+H53</f>
        <v>-2959.1816666666664</v>
      </c>
      <c r="I55" s="235"/>
      <c r="J55" s="235">
        <f>+J53</f>
        <v>-3443.2420833333213</v>
      </c>
      <c r="K55" s="235">
        <f>+K53</f>
        <v>-10241.151666666667</v>
      </c>
      <c r="L55" s="235"/>
      <c r="M55" s="235">
        <f t="shared" ref="M55" si="121">+M53</f>
        <v>-10725.212083333334</v>
      </c>
      <c r="N55" s="235">
        <f>+N53</f>
        <v>10207.818333333335</v>
      </c>
      <c r="O55" s="235"/>
      <c r="P55" s="235">
        <f>+P53</f>
        <v>9723.7579166666765</v>
      </c>
      <c r="Q55" s="235">
        <f>+Q53</f>
        <v>34547.758333333339</v>
      </c>
      <c r="R55" s="235"/>
      <c r="S55" s="235">
        <f>+S53</f>
        <v>34063.697916666672</v>
      </c>
      <c r="T55" s="235">
        <f>+T53</f>
        <v>-2481.1616666666669</v>
      </c>
      <c r="U55" s="235"/>
      <c r="V55" s="235">
        <f t="shared" ref="V55" si="122">+V53</f>
        <v>-2965.2220833333349</v>
      </c>
      <c r="W55" s="235">
        <f>+W53</f>
        <v>39295.638333333336</v>
      </c>
      <c r="X55" s="235"/>
      <c r="Y55" s="235">
        <f t="shared" ref="Y55" si="123">+Y53</f>
        <v>38811.577916666676</v>
      </c>
      <c r="Z55" s="235">
        <f>+Z53</f>
        <v>32752.958333333332</v>
      </c>
      <c r="AA55" s="235"/>
      <c r="AB55" s="235">
        <f>+AB53</f>
        <v>32268.897916666694</v>
      </c>
      <c r="AC55" s="235">
        <f>+AC53</f>
        <v>25206.418333333331</v>
      </c>
      <c r="AD55" s="235"/>
      <c r="AE55" s="235">
        <f t="shared" ref="AE55" si="124">+AE53</f>
        <v>24722.357916666679</v>
      </c>
      <c r="AF55" s="235">
        <f>+AF53</f>
        <v>42771.378333333341</v>
      </c>
      <c r="AG55" s="235"/>
      <c r="AH55" s="235">
        <f t="shared" ref="AH55" si="125">+AH53</f>
        <v>42942.817916666689</v>
      </c>
      <c r="AI55" s="235">
        <f>+AI53</f>
        <v>156052.36883333334</v>
      </c>
      <c r="AJ55" s="235"/>
      <c r="AK55" s="235">
        <f>+AK53</f>
        <v>159375.30841666672</v>
      </c>
      <c r="AL55" s="235">
        <f>SUM(AL53:AL54)</f>
        <v>90830.430158333329</v>
      </c>
      <c r="AM55" s="235">
        <f>+AM53+AM54</f>
        <v>116429.19849166668</v>
      </c>
      <c r="AN55" s="152">
        <f>+AN53+AN54</f>
        <v>178374.61232500005</v>
      </c>
      <c r="AO55" s="106">
        <v>166018.11200000008</v>
      </c>
      <c r="AP55" s="3">
        <f t="shared" si="11"/>
        <v>12356.500324999972</v>
      </c>
      <c r="AQ55" s="152">
        <f>+AQ53+AQ54</f>
        <v>85317.216075000018</v>
      </c>
    </row>
    <row r="56" spans="1:43" x14ac:dyDescent="0.25">
      <c r="B56" s="62"/>
      <c r="C56" s="34"/>
      <c r="D56" s="62"/>
    </row>
    <row r="57" spans="1:43" x14ac:dyDescent="0.25">
      <c r="A57" s="108" t="s">
        <v>299</v>
      </c>
      <c r="B57" s="62"/>
      <c r="C57" s="34"/>
      <c r="D57" s="62"/>
    </row>
    <row r="58" spans="1:43" x14ac:dyDescent="0.25">
      <c r="A58" s="34" t="s">
        <v>8</v>
      </c>
      <c r="B58" s="266">
        <f>+B2</f>
        <v>246376</v>
      </c>
      <c r="C58" s="266">
        <f>+C3-1</f>
        <v>0.25</v>
      </c>
      <c r="D58" s="235">
        <f>-B58*C58</f>
        <v>-61594</v>
      </c>
      <c r="E58" s="266"/>
      <c r="F58" s="266"/>
      <c r="G58" s="266"/>
      <c r="H58" s="266"/>
      <c r="I58" s="266"/>
      <c r="J58" s="266"/>
      <c r="K58" s="266"/>
      <c r="L58" s="266"/>
      <c r="M58" s="266"/>
      <c r="N58" s="266"/>
      <c r="O58" s="266"/>
      <c r="P58" s="266"/>
      <c r="Q58" s="266"/>
      <c r="R58" s="266"/>
      <c r="S58" s="266"/>
      <c r="T58" s="266"/>
      <c r="U58" s="266"/>
      <c r="V58" s="266"/>
      <c r="W58" s="266"/>
      <c r="X58" s="266"/>
      <c r="Y58" s="266"/>
      <c r="Z58" s="266"/>
      <c r="AA58" s="266"/>
      <c r="AB58" s="266"/>
      <c r="AC58" s="266"/>
      <c r="AD58" s="266"/>
      <c r="AE58" s="266"/>
      <c r="AF58" s="266"/>
      <c r="AG58" s="266"/>
      <c r="AH58" s="266"/>
      <c r="AI58" s="266"/>
      <c r="AJ58" s="266"/>
      <c r="AK58" s="266"/>
      <c r="AL58" s="266"/>
      <c r="AM58" s="268"/>
      <c r="AN58" s="235"/>
      <c r="AO58" s="234"/>
      <c r="AP58" s="234"/>
      <c r="AQ58" s="233"/>
    </row>
    <row r="59" spans="1:43" x14ac:dyDescent="0.25">
      <c r="B59" s="266"/>
      <c r="C59" s="266"/>
      <c r="D59" s="266"/>
      <c r="E59" s="266"/>
      <c r="F59" s="266"/>
      <c r="G59" s="266"/>
      <c r="H59" s="266"/>
      <c r="I59" s="266"/>
      <c r="J59" s="266"/>
      <c r="K59" s="266"/>
      <c r="L59" s="266"/>
      <c r="M59" s="266"/>
      <c r="N59" s="266"/>
      <c r="O59" s="266"/>
      <c r="P59" s="266"/>
      <c r="Q59" s="266"/>
      <c r="R59" s="266"/>
      <c r="S59" s="266"/>
      <c r="T59" s="266"/>
      <c r="U59" s="266"/>
      <c r="V59" s="266"/>
      <c r="W59" s="266"/>
      <c r="X59" s="266"/>
      <c r="Y59" s="266"/>
      <c r="Z59" s="266"/>
      <c r="AA59" s="266"/>
      <c r="AB59" s="266"/>
      <c r="AC59" s="266"/>
      <c r="AD59" s="266"/>
      <c r="AE59" s="266"/>
      <c r="AF59" s="266"/>
      <c r="AG59" s="266"/>
      <c r="AH59" s="266"/>
      <c r="AI59" s="266"/>
      <c r="AJ59" s="266"/>
      <c r="AK59" s="266"/>
      <c r="AL59" s="266"/>
      <c r="AM59" s="266"/>
      <c r="AN59" s="235"/>
      <c r="AO59" s="234"/>
      <c r="AP59" s="234"/>
      <c r="AQ59" s="233"/>
    </row>
    <row r="60" spans="1:43" s="34" customFormat="1" x14ac:dyDescent="0.25">
      <c r="A60" s="108" t="s">
        <v>300</v>
      </c>
      <c r="B60" s="266"/>
      <c r="C60" s="266"/>
      <c r="D60" s="266"/>
      <c r="E60" s="266">
        <f>+E2</f>
        <v>-6619.29</v>
      </c>
      <c r="F60" s="266">
        <f>+'1-COEF REALES'!D22-1</f>
        <v>0.22999999999999998</v>
      </c>
      <c r="G60" s="266">
        <f>-E60*F60</f>
        <v>1522.4367</v>
      </c>
      <c r="H60" s="266">
        <f>+H2</f>
        <v>5159.8799999999846</v>
      </c>
      <c r="I60" s="266">
        <f>+'1-COEF REALES'!D23-1</f>
        <v>0.19999999999999996</v>
      </c>
      <c r="J60" s="266">
        <f>-H60*I60</f>
        <v>-1031.9759999999967</v>
      </c>
      <c r="K60" s="266">
        <f>+K2</f>
        <v>-3648.5800000000049</v>
      </c>
      <c r="L60" s="266">
        <f>+'1-COEF REALES'!D24-1</f>
        <v>0.17999999999999994</v>
      </c>
      <c r="M60" s="266">
        <f>-K60*L60</f>
        <v>656.74440000000061</v>
      </c>
      <c r="N60" s="266">
        <f>+N2</f>
        <v>21355.079999999991</v>
      </c>
      <c r="O60" s="266">
        <f>+'1-COEF REALES'!D25-1</f>
        <v>0.14999999999999991</v>
      </c>
      <c r="P60" s="266">
        <f>-N60*O60</f>
        <v>-3203.2619999999965</v>
      </c>
      <c r="Q60" s="266">
        <f>+Q2</f>
        <v>50719.06</v>
      </c>
      <c r="R60" s="266">
        <f>+'1-COEF REALES'!D26-1</f>
        <v>0.12999999999999989</v>
      </c>
      <c r="S60" s="266">
        <f>-Q60*R60</f>
        <v>-6593.4777999999942</v>
      </c>
      <c r="T60" s="266">
        <f>+T2</f>
        <v>8557.9500000000025</v>
      </c>
      <c r="U60" s="266">
        <f>+'1-COEF REALES'!D27-1</f>
        <v>0.12000000000000011</v>
      </c>
      <c r="V60" s="266">
        <f>-T60*U60</f>
        <v>-1026.9540000000013</v>
      </c>
      <c r="W60" s="266">
        <f>+W2</f>
        <v>56782.169999999984</v>
      </c>
      <c r="X60" s="266">
        <f>+'1-COEF REALES'!D28-1</f>
        <v>0.10000000000000009</v>
      </c>
      <c r="Y60" s="266">
        <f>-W60*X60</f>
        <v>-5678.2170000000033</v>
      </c>
      <c r="Z60" s="266">
        <f>+Z2</f>
        <v>49707.140000000007</v>
      </c>
      <c r="AA60" s="266">
        <f>+'1-COEF REALES'!D29-1</f>
        <v>8.0000000000000071E-2</v>
      </c>
      <c r="AB60" s="266">
        <f>-Z60*AA60</f>
        <v>-3976.571200000004</v>
      </c>
      <c r="AC60" s="266">
        <f>+AC2</f>
        <v>40620.880000000005</v>
      </c>
      <c r="AD60" s="266">
        <f>+'1-COEF REALES'!D30-1</f>
        <v>6.0000000000000053E-2</v>
      </c>
      <c r="AE60" s="266">
        <f>-AC60*AD60</f>
        <v>-2437.2528000000025</v>
      </c>
      <c r="AF60" s="266">
        <f>+AF2</f>
        <v>46060.950000000012</v>
      </c>
      <c r="AG60" s="266">
        <f>+'1-COEF REALES'!D31-1</f>
        <v>5.0000000000000044E-2</v>
      </c>
      <c r="AH60" s="266">
        <f>-AF60*AG60</f>
        <v>-2303.0475000000024</v>
      </c>
      <c r="AI60" s="266">
        <f>+AI2</f>
        <v>-228056.23</v>
      </c>
      <c r="AJ60" s="266">
        <f>+'1-COEF REALES'!D32-1</f>
        <v>3.0000000000000027E-2</v>
      </c>
      <c r="AK60" s="266">
        <f>-AI60*AJ60</f>
        <v>6841.6869000000061</v>
      </c>
      <c r="AL60" s="266"/>
      <c r="AM60" s="268"/>
      <c r="AN60" s="235"/>
      <c r="AO60" s="268"/>
      <c r="AP60" s="268"/>
      <c r="AQ60" s="266"/>
    </row>
    <row r="61" spans="1:43" s="34" customFormat="1" x14ac:dyDescent="0.25">
      <c r="B61" s="266"/>
      <c r="C61" s="266"/>
      <c r="D61" s="266"/>
      <c r="E61" s="266">
        <f>-E17</f>
        <v>-4253.1299999999983</v>
      </c>
      <c r="F61" s="266">
        <f>+F60</f>
        <v>0.22999999999999998</v>
      </c>
      <c r="G61" s="266">
        <f>-E61*F61</f>
        <v>978.21989999999948</v>
      </c>
      <c r="H61" s="266">
        <f>-H11</f>
        <v>-6182.82</v>
      </c>
      <c r="I61" s="266">
        <f>+I60</f>
        <v>0.19999999999999996</v>
      </c>
      <c r="J61" s="266">
        <f>-H61*I61</f>
        <v>1236.5639999999996</v>
      </c>
      <c r="K61" s="266">
        <f>-K11</f>
        <v>-4656.33</v>
      </c>
      <c r="L61" s="266">
        <f>+L60</f>
        <v>0.17999999999999994</v>
      </c>
      <c r="M61" s="266">
        <f>-K61*L61</f>
        <v>838.13939999999968</v>
      </c>
      <c r="N61" s="266">
        <f>-N11</f>
        <v>-9211.0199999999986</v>
      </c>
      <c r="O61" s="266">
        <f>+O60</f>
        <v>0.14999999999999991</v>
      </c>
      <c r="P61" s="266">
        <f>-N61*O61</f>
        <v>1381.6529999999989</v>
      </c>
      <c r="Q61" s="266">
        <f>-Q11</f>
        <v>-14235.060000000001</v>
      </c>
      <c r="R61" s="266">
        <f>+R60</f>
        <v>0.12999999999999989</v>
      </c>
      <c r="S61" s="266">
        <f>-Q61*R61</f>
        <v>1850.5577999999987</v>
      </c>
      <c r="T61" s="266">
        <f>-T11</f>
        <v>-9102.8700000000026</v>
      </c>
      <c r="U61" s="266">
        <f>+U60</f>
        <v>0.12000000000000011</v>
      </c>
      <c r="V61" s="266">
        <f>-T61*U61</f>
        <v>1092.3444000000013</v>
      </c>
      <c r="W61" s="266">
        <f>-W11</f>
        <v>-15550.289999999997</v>
      </c>
      <c r="X61" s="266">
        <f>+X60</f>
        <v>0.10000000000000009</v>
      </c>
      <c r="Y61" s="266">
        <f>-W61*X61</f>
        <v>1555.0290000000011</v>
      </c>
      <c r="Z61" s="266">
        <f>-Z11</f>
        <v>-15017.939999999997</v>
      </c>
      <c r="AA61" s="266">
        <f>+AA60</f>
        <v>8.0000000000000071E-2</v>
      </c>
      <c r="AB61" s="266">
        <f>-Z61*AA61</f>
        <v>1201.4352000000008</v>
      </c>
      <c r="AC61" s="266">
        <f>-AC11</f>
        <v>-13478.219999999998</v>
      </c>
      <c r="AD61" s="266">
        <f>+AD60</f>
        <v>6.0000000000000053E-2</v>
      </c>
      <c r="AE61" s="266">
        <f>-AC61*AD61</f>
        <v>808.69320000000062</v>
      </c>
      <c r="AF61" s="266">
        <f>-AF11</f>
        <v>-14463.329999999996</v>
      </c>
      <c r="AG61" s="266">
        <f>+AG60</f>
        <v>5.0000000000000044E-2</v>
      </c>
      <c r="AH61" s="266">
        <f>-AF61*AG61</f>
        <v>723.1665000000005</v>
      </c>
      <c r="AI61" s="266">
        <f>-AI11</f>
        <v>-13327.859999999999</v>
      </c>
      <c r="AJ61" s="266">
        <f>+AJ60</f>
        <v>3.0000000000000027E-2</v>
      </c>
      <c r="AK61" s="266">
        <f>-AI61*AJ61</f>
        <v>399.83580000000029</v>
      </c>
      <c r="AL61" s="266"/>
      <c r="AM61" s="268"/>
      <c r="AN61" s="235"/>
      <c r="AO61" s="268"/>
      <c r="AP61" s="268"/>
      <c r="AQ61" s="266"/>
    </row>
    <row r="62" spans="1:43" s="108" customFormat="1" x14ac:dyDescent="0.25">
      <c r="B62" s="235"/>
      <c r="C62" s="235"/>
      <c r="D62" s="235"/>
      <c r="E62" s="235"/>
      <c r="F62" s="235"/>
      <c r="G62" s="235">
        <f>SUM(G60:G61)</f>
        <v>2500.6565999999993</v>
      </c>
      <c r="H62" s="235"/>
      <c r="I62" s="235"/>
      <c r="J62" s="235">
        <f>SUM(J60:J61)</f>
        <v>204.58800000000292</v>
      </c>
      <c r="K62" s="235"/>
      <c r="L62" s="235"/>
      <c r="M62" s="235">
        <f>SUM(M60:M61)</f>
        <v>1494.8838000000003</v>
      </c>
      <c r="N62" s="235"/>
      <c r="O62" s="235"/>
      <c r="P62" s="235">
        <f>SUM(P60:P61)</f>
        <v>-1821.6089999999976</v>
      </c>
      <c r="Q62" s="235"/>
      <c r="R62" s="235"/>
      <c r="S62" s="235">
        <f>SUM(S60:S61)</f>
        <v>-4742.9199999999955</v>
      </c>
      <c r="T62" s="235"/>
      <c r="U62" s="235"/>
      <c r="V62" s="235">
        <f>SUM(V60:V61)</f>
        <v>65.3904</v>
      </c>
      <c r="W62" s="235"/>
      <c r="X62" s="235"/>
      <c r="Y62" s="235">
        <f>SUM(Y60:Y61)</f>
        <v>-4123.1880000000019</v>
      </c>
      <c r="Z62" s="235">
        <f>SUM(Z60:Z61)</f>
        <v>34689.200000000012</v>
      </c>
      <c r="AA62" s="235"/>
      <c r="AB62" s="235">
        <f>SUM(AB60:AB61)</f>
        <v>-2775.1360000000032</v>
      </c>
      <c r="AC62" s="235">
        <f t="shared" ref="AC62" si="126">SUM(AC60:AC61)</f>
        <v>27142.660000000007</v>
      </c>
      <c r="AD62" s="235"/>
      <c r="AE62" s="235">
        <f>SUM(AE60:AE61)</f>
        <v>-1628.5596000000019</v>
      </c>
      <c r="AF62" s="235"/>
      <c r="AG62" s="235"/>
      <c r="AH62" s="235">
        <f>SUM(AH60:AH61)</f>
        <v>-1579.8810000000019</v>
      </c>
      <c r="AI62" s="235"/>
      <c r="AJ62" s="235"/>
      <c r="AK62" s="235">
        <f>SUM(AK60:AK61)</f>
        <v>7241.5227000000068</v>
      </c>
      <c r="AL62" s="235"/>
      <c r="AM62" s="235"/>
      <c r="AN62" s="235"/>
      <c r="AO62" s="156"/>
      <c r="AP62" s="156"/>
      <c r="AQ62" s="235"/>
    </row>
    <row r="63" spans="1:43" x14ac:dyDescent="0.25">
      <c r="B63" s="233"/>
      <c r="C63" s="233"/>
      <c r="D63" s="233"/>
      <c r="E63" s="266"/>
      <c r="F63" s="266"/>
      <c r="G63" s="266"/>
      <c r="H63" s="266"/>
      <c r="I63" s="266"/>
      <c r="J63" s="266"/>
      <c r="K63" s="266"/>
      <c r="L63" s="266"/>
      <c r="M63" s="266"/>
      <c r="N63" s="266"/>
      <c r="O63" s="266"/>
      <c r="P63" s="266"/>
      <c r="Q63" s="266"/>
      <c r="R63" s="266"/>
      <c r="S63" s="266"/>
      <c r="T63" s="266"/>
      <c r="U63" s="266"/>
      <c r="V63" s="266"/>
      <c r="W63" s="266"/>
      <c r="X63" s="266"/>
      <c r="Y63" s="266"/>
      <c r="Z63" s="266"/>
      <c r="AA63" s="266"/>
      <c r="AB63" s="266"/>
      <c r="AC63" s="266"/>
      <c r="AD63" s="266"/>
      <c r="AE63" s="266"/>
      <c r="AF63" s="266"/>
      <c r="AG63" s="266"/>
      <c r="AH63" s="266"/>
      <c r="AI63" s="266"/>
      <c r="AJ63" s="266"/>
      <c r="AK63" s="266"/>
      <c r="AL63" s="266"/>
      <c r="AM63" s="268"/>
      <c r="AN63" s="235"/>
      <c r="AO63" s="234"/>
      <c r="AP63" s="234"/>
      <c r="AQ63" s="233"/>
    </row>
    <row r="64" spans="1:43" x14ac:dyDescent="0.25">
      <c r="B64" s="233"/>
      <c r="C64" s="233"/>
      <c r="D64" s="233"/>
      <c r="E64" s="266"/>
      <c r="F64" s="266"/>
      <c r="G64" s="266"/>
      <c r="H64" s="266"/>
      <c r="I64" s="266"/>
      <c r="J64" s="266"/>
      <c r="K64" s="266"/>
      <c r="L64" s="266"/>
      <c r="M64" s="266"/>
      <c r="N64" s="266"/>
      <c r="O64" s="266"/>
      <c r="P64" s="266"/>
      <c r="Q64" s="266"/>
      <c r="R64" s="266"/>
      <c r="S64" s="266"/>
      <c r="T64" s="266"/>
      <c r="U64" s="266"/>
      <c r="V64" s="266"/>
      <c r="W64" s="266"/>
      <c r="X64" s="266"/>
      <c r="Y64" s="266"/>
      <c r="Z64" s="266"/>
      <c r="AA64" s="266"/>
      <c r="AB64" s="266"/>
      <c r="AC64" s="266"/>
      <c r="AD64" s="266"/>
      <c r="AE64" s="266"/>
      <c r="AF64" s="266"/>
      <c r="AG64" s="266"/>
      <c r="AH64" s="266"/>
      <c r="AI64" s="266">
        <f>+AI70*0.21</f>
        <v>45036.81</v>
      </c>
      <c r="AJ64" s="266">
        <f>'1-COEF REALES'!D32-1</f>
        <v>3.0000000000000027E-2</v>
      </c>
      <c r="AK64" s="235">
        <f>-AI64*AJ64</f>
        <v>-1351.1043000000011</v>
      </c>
      <c r="AL64" s="266"/>
      <c r="AM64" s="266"/>
      <c r="AN64" s="235"/>
      <c r="AO64" s="234"/>
      <c r="AP64" s="234"/>
      <c r="AQ64" s="233"/>
    </row>
    <row r="65" spans="2:43" x14ac:dyDescent="0.25">
      <c r="B65" s="233"/>
      <c r="C65" s="233"/>
      <c r="D65" s="233"/>
      <c r="E65" s="266"/>
      <c r="F65" s="266"/>
      <c r="G65" s="266"/>
      <c r="H65" s="266"/>
      <c r="I65" s="266"/>
      <c r="J65" s="266"/>
      <c r="K65" s="266"/>
      <c r="L65" s="266"/>
      <c r="M65" s="266"/>
      <c r="N65" s="266"/>
      <c r="O65" s="266"/>
      <c r="P65" s="266"/>
      <c r="Q65" s="266"/>
      <c r="R65" s="266"/>
      <c r="S65" s="266"/>
      <c r="T65" s="266"/>
      <c r="U65" s="266"/>
      <c r="V65" s="266"/>
      <c r="W65" s="266"/>
      <c r="X65" s="266"/>
      <c r="Y65" s="266"/>
      <c r="Z65" s="266"/>
      <c r="AA65" s="266"/>
      <c r="AB65" s="266"/>
      <c r="AC65" s="266"/>
      <c r="AD65" s="266"/>
      <c r="AE65" s="266"/>
      <c r="AF65" s="266"/>
      <c r="AG65" s="266"/>
      <c r="AH65" s="266"/>
      <c r="AI65" s="266"/>
      <c r="AJ65" s="266"/>
      <c r="AK65" s="266"/>
      <c r="AL65" s="266"/>
      <c r="AM65" s="266"/>
      <c r="AN65" s="235"/>
      <c r="AO65" s="234"/>
      <c r="AP65" s="234"/>
      <c r="AQ65" s="233"/>
    </row>
    <row r="66" spans="2:43" x14ac:dyDescent="0.25">
      <c r="B66" s="233"/>
      <c r="C66" s="233"/>
      <c r="D66" s="233"/>
      <c r="E66" s="266"/>
      <c r="F66" s="266"/>
      <c r="G66" s="266"/>
      <c r="H66" s="266"/>
      <c r="I66" s="266"/>
      <c r="J66" s="266"/>
      <c r="K66" s="266"/>
      <c r="L66" s="266"/>
      <c r="M66" s="266"/>
      <c r="N66" s="266"/>
      <c r="O66" s="266"/>
      <c r="P66" s="266"/>
      <c r="Q66" s="266"/>
      <c r="R66" s="266"/>
      <c r="S66" s="266"/>
      <c r="T66" s="266"/>
      <c r="U66" s="266"/>
      <c r="V66" s="266"/>
      <c r="W66" s="266"/>
      <c r="X66" s="266"/>
      <c r="Y66" s="266"/>
      <c r="Z66" s="266"/>
      <c r="AA66" s="266"/>
      <c r="AB66" s="266"/>
      <c r="AC66" s="266"/>
      <c r="AD66" s="266"/>
      <c r="AE66" s="266"/>
      <c r="AF66" s="266"/>
      <c r="AG66" s="266"/>
      <c r="AH66" s="266"/>
      <c r="AI66" s="269"/>
      <c r="AJ66" s="269"/>
      <c r="AK66" s="269">
        <f>+AK62+AK64</f>
        <v>5890.4184000000059</v>
      </c>
      <c r="AL66" s="266"/>
      <c r="AM66" s="270" t="s">
        <v>301</v>
      </c>
      <c r="AN66" s="271"/>
      <c r="AO66" s="272"/>
      <c r="AP66" s="272"/>
      <c r="AQ66" s="273">
        <f>+D58+G62+J62+M62+P62+S62+V62+Y62+AB62+AE62+AH62+AK66</f>
        <v>-68109.35639999999</v>
      </c>
    </row>
    <row r="67" spans="2:43" ht="15.75" thickBot="1" x14ac:dyDescent="0.3">
      <c r="C67" s="3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266"/>
      <c r="AJ67" s="266"/>
      <c r="AK67" s="266"/>
      <c r="AL67" s="62"/>
    </row>
    <row r="68" spans="2:43" x14ac:dyDescent="0.25">
      <c r="C68" s="3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274" t="s">
        <v>302</v>
      </c>
      <c r="AJ68" s="275"/>
      <c r="AK68" s="276"/>
      <c r="AL68" s="62"/>
    </row>
    <row r="69" spans="2:43" x14ac:dyDescent="0.25">
      <c r="C69" s="3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277">
        <f>('2-REGISTRACIONES'!M68+'2-REGISTRACIONES'!M66)*-1</f>
        <v>227435.89050000001</v>
      </c>
      <c r="AJ69" s="278">
        <v>1</v>
      </c>
      <c r="AK69" s="279">
        <f>+AI69*AJ69</f>
        <v>227435.89050000001</v>
      </c>
      <c r="AL69" s="62"/>
    </row>
    <row r="70" spans="2:43" x14ac:dyDescent="0.25">
      <c r="C70" s="3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277">
        <f>+AI24</f>
        <v>214461</v>
      </c>
      <c r="AJ70" s="278">
        <f>+'1-COEF REALES'!D32</f>
        <v>1.03</v>
      </c>
      <c r="AK70" s="279">
        <f>+AI70*AJ70</f>
        <v>220894.83000000002</v>
      </c>
      <c r="AL70" s="62"/>
    </row>
    <row r="71" spans="2:43" x14ac:dyDescent="0.25">
      <c r="C71" s="3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277">
        <f>+AI69-AI70</f>
        <v>12974.890500000009</v>
      </c>
      <c r="AJ71" s="278"/>
      <c r="AK71" s="280">
        <f>+AK69-AK70</f>
        <v>6541.0604999999923</v>
      </c>
      <c r="AL71" s="62"/>
    </row>
    <row r="72" spans="2:43" ht="15.75" thickBot="1" x14ac:dyDescent="0.3">
      <c r="AI72" s="281"/>
      <c r="AJ72" s="282"/>
      <c r="AK72" s="283"/>
    </row>
    <row r="73" spans="2:43" x14ac:dyDescent="0.25">
      <c r="AI73" s="268"/>
      <c r="AJ73" s="268"/>
      <c r="AK73" s="268"/>
    </row>
  </sheetData>
  <sheetProtection sheet="1" objects="1" scenarios="1"/>
  <pageMargins left="0.70866141732283472" right="0.31496062992125984" top="0.74803149606299213" bottom="0.74803149606299213" header="0.31496062992125984" footer="0.31496062992125984"/>
  <pageSetup paperSize="9" scale="4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activeCell="A17" sqref="A17:F29"/>
    </sheetView>
  </sheetViews>
  <sheetFormatPr baseColWidth="10" defaultRowHeight="15" x14ac:dyDescent="0.25"/>
  <cols>
    <col min="1" max="1" width="25.42578125" customWidth="1"/>
    <col min="2" max="2" width="14.85546875" bestFit="1" customWidth="1"/>
    <col min="3" max="14" width="10.85546875" bestFit="1" customWidth="1"/>
    <col min="15" max="15" width="14.85546875" bestFit="1" customWidth="1"/>
    <col min="16" max="16" width="17.7109375" bestFit="1" customWidth="1"/>
    <col min="17" max="17" width="12.42578125" bestFit="1" customWidth="1"/>
  </cols>
  <sheetData>
    <row r="1" spans="1:17" x14ac:dyDescent="0.25">
      <c r="A1" s="42" t="s">
        <v>77</v>
      </c>
      <c r="C1" s="48">
        <v>42736</v>
      </c>
      <c r="D1" s="48">
        <v>42767</v>
      </c>
      <c r="E1" s="48">
        <v>42795</v>
      </c>
      <c r="F1" s="48">
        <v>42826</v>
      </c>
      <c r="G1" s="48">
        <v>42856</v>
      </c>
      <c r="H1" s="48">
        <v>42887</v>
      </c>
      <c r="I1" s="48">
        <v>42917</v>
      </c>
      <c r="J1" s="48">
        <v>42948</v>
      </c>
      <c r="K1" s="48">
        <v>42979</v>
      </c>
      <c r="L1" s="48">
        <v>43009</v>
      </c>
      <c r="M1" s="48">
        <v>43040</v>
      </c>
      <c r="N1" s="48">
        <v>43070</v>
      </c>
      <c r="O1" s="41"/>
    </row>
    <row r="2" spans="1:17" x14ac:dyDescent="0.25">
      <c r="A2" s="39" t="s">
        <v>212</v>
      </c>
      <c r="C2" s="55">
        <v>17955</v>
      </c>
      <c r="D2" s="55">
        <v>15561</v>
      </c>
      <c r="E2" s="55">
        <v>14994</v>
      </c>
      <c r="F2" s="55">
        <v>17493</v>
      </c>
      <c r="G2" s="55">
        <v>10080</v>
      </c>
      <c r="H2" s="55">
        <v>21168</v>
      </c>
      <c r="I2" s="55">
        <v>20317.5</v>
      </c>
      <c r="J2" s="55">
        <v>21105</v>
      </c>
      <c r="K2" s="55">
        <v>23184</v>
      </c>
      <c r="L2" s="55">
        <v>23184</v>
      </c>
      <c r="M2" s="55">
        <v>26649</v>
      </c>
      <c r="N2" s="55">
        <v>29893.5</v>
      </c>
      <c r="O2" s="40"/>
      <c r="P2" t="s">
        <v>75</v>
      </c>
      <c r="Q2" s="3">
        <f>SUM(C2:P2)</f>
        <v>241584</v>
      </c>
    </row>
    <row r="3" spans="1:17" x14ac:dyDescent="0.25">
      <c r="A3" t="s">
        <v>78</v>
      </c>
      <c r="C3" s="3">
        <v>-29948.94</v>
      </c>
      <c r="D3" s="3">
        <v>-26501.58</v>
      </c>
      <c r="E3" s="3">
        <v>-24065.37</v>
      </c>
      <c r="F3" s="3">
        <v>-31037.58</v>
      </c>
      <c r="G3" s="3">
        <v>-28350</v>
      </c>
      <c r="H3" s="3">
        <v>-34768.44</v>
      </c>
      <c r="I3" s="3">
        <v>-39984.839999999997</v>
      </c>
      <c r="J3" s="3">
        <v>-40521.599999999999</v>
      </c>
      <c r="K3" s="3">
        <v>-41470.379999999997</v>
      </c>
      <c r="L3" s="3">
        <v>-42513.66</v>
      </c>
      <c r="M3" s="3">
        <v>-45036.81</v>
      </c>
      <c r="N3" s="3">
        <v>-51876.72</v>
      </c>
      <c r="P3" t="s">
        <v>78</v>
      </c>
      <c r="Q3" s="3">
        <f t="shared" ref="Q3" si="0">SUM(C3:N3)</f>
        <v>-436075.92000000004</v>
      </c>
    </row>
    <row r="4" spans="1:17" x14ac:dyDescent="0.25">
      <c r="A4" t="s">
        <v>213</v>
      </c>
      <c r="C4" s="3">
        <v>1680</v>
      </c>
      <c r="D4" s="3">
        <v>1680</v>
      </c>
      <c r="E4" s="3">
        <v>1680</v>
      </c>
      <c r="F4" s="3">
        <v>1680</v>
      </c>
      <c r="G4" s="3">
        <v>1680</v>
      </c>
      <c r="H4" s="3">
        <v>1680</v>
      </c>
      <c r="I4" s="3">
        <v>1848</v>
      </c>
      <c r="J4" s="3">
        <v>1848</v>
      </c>
      <c r="K4" s="3">
        <v>1848</v>
      </c>
      <c r="L4" s="3">
        <v>1848</v>
      </c>
      <c r="M4" s="3">
        <v>1848</v>
      </c>
      <c r="N4" s="3">
        <v>1848</v>
      </c>
      <c r="P4" t="s">
        <v>75</v>
      </c>
      <c r="Q4" s="3">
        <f t="shared" ref="Q4" si="1">SUM(C4:N4)</f>
        <v>21168</v>
      </c>
    </row>
    <row r="5" spans="1:17" x14ac:dyDescent="0.25">
      <c r="A5" t="s">
        <v>66</v>
      </c>
      <c r="C5" s="3">
        <v>2664.69</v>
      </c>
      <c r="D5" s="3">
        <v>0</v>
      </c>
      <c r="E5" s="3">
        <v>0</v>
      </c>
      <c r="F5" s="3">
        <v>0</v>
      </c>
      <c r="G5" s="3">
        <v>0</v>
      </c>
      <c r="H5" s="3">
        <v>0</v>
      </c>
      <c r="I5" s="3">
        <v>0</v>
      </c>
      <c r="J5" s="3">
        <v>0</v>
      </c>
      <c r="K5" s="3">
        <v>0</v>
      </c>
      <c r="L5" s="3">
        <v>0</v>
      </c>
      <c r="M5" s="3">
        <v>0</v>
      </c>
      <c r="N5" s="3">
        <v>0</v>
      </c>
      <c r="P5" t="s">
        <v>75</v>
      </c>
      <c r="Q5" s="3">
        <f t="shared" ref="Q5:Q13" si="2">SUM(C5:N5)</f>
        <v>2664.69</v>
      </c>
    </row>
    <row r="6" spans="1:17" x14ac:dyDescent="0.25">
      <c r="A6" t="s">
        <v>43</v>
      </c>
      <c r="C6" s="3">
        <v>686.06999999999994</v>
      </c>
      <c r="D6" s="3">
        <v>422.72999999999996</v>
      </c>
      <c r="E6" s="3">
        <v>392.07</v>
      </c>
      <c r="F6" s="3">
        <v>329.7</v>
      </c>
      <c r="G6" s="3">
        <v>278.45999999999998</v>
      </c>
      <c r="H6" s="3">
        <v>299.45999999999998</v>
      </c>
      <c r="I6" s="3">
        <v>261.24</v>
      </c>
      <c r="J6" s="3">
        <v>274.05</v>
      </c>
      <c r="K6" s="3">
        <v>242.76</v>
      </c>
      <c r="L6" s="3">
        <v>289.17</v>
      </c>
      <c r="M6" s="3">
        <v>266.07</v>
      </c>
      <c r="N6" s="3">
        <v>354.27</v>
      </c>
      <c r="P6" t="s">
        <v>75</v>
      </c>
      <c r="Q6" s="3">
        <f t="shared" si="2"/>
        <v>4096.05</v>
      </c>
    </row>
    <row r="7" spans="1:17" x14ac:dyDescent="0.25">
      <c r="A7" t="s">
        <v>214</v>
      </c>
      <c r="C7" s="3">
        <v>346.5</v>
      </c>
      <c r="D7" s="3">
        <v>263.13</v>
      </c>
      <c r="E7" s="3">
        <v>324.02999999999997</v>
      </c>
      <c r="F7" s="3">
        <v>416.43</v>
      </c>
      <c r="G7" s="3">
        <v>221.76</v>
      </c>
      <c r="H7" s="3">
        <v>704.76</v>
      </c>
      <c r="I7" s="3">
        <v>288.95999999999998</v>
      </c>
      <c r="J7" s="3">
        <v>464.31</v>
      </c>
      <c r="K7" s="3">
        <v>448.77</v>
      </c>
      <c r="L7" s="3">
        <v>470.4</v>
      </c>
      <c r="M7" s="3">
        <v>515.76</v>
      </c>
      <c r="N7" s="3">
        <v>483.21</v>
      </c>
      <c r="P7" t="s">
        <v>75</v>
      </c>
      <c r="Q7" s="3">
        <f t="shared" si="2"/>
        <v>4948.0199999999995</v>
      </c>
    </row>
    <row r="8" spans="1:17" x14ac:dyDescent="0.25">
      <c r="A8" t="s">
        <v>215</v>
      </c>
      <c r="C8" s="3">
        <v>420</v>
      </c>
      <c r="D8" s="3">
        <v>420</v>
      </c>
      <c r="E8" s="3">
        <v>420</v>
      </c>
      <c r="F8" s="3">
        <v>420</v>
      </c>
      <c r="G8" s="3">
        <v>420</v>
      </c>
      <c r="H8" s="3">
        <v>420</v>
      </c>
      <c r="I8" s="3">
        <v>420</v>
      </c>
      <c r="J8" s="3">
        <v>420</v>
      </c>
      <c r="K8" s="3">
        <v>420</v>
      </c>
      <c r="L8" s="3">
        <v>420</v>
      </c>
      <c r="M8" s="3">
        <v>525</v>
      </c>
      <c r="N8" s="3">
        <v>525</v>
      </c>
      <c r="P8" t="s">
        <v>75</v>
      </c>
      <c r="Q8" s="3">
        <f t="shared" si="2"/>
        <v>5250</v>
      </c>
    </row>
    <row r="9" spans="1:17" x14ac:dyDescent="0.25">
      <c r="A9" t="s">
        <v>216</v>
      </c>
      <c r="C9" s="3">
        <v>388.5</v>
      </c>
      <c r="D9" s="3">
        <v>493.5</v>
      </c>
      <c r="E9" s="3">
        <v>420.21</v>
      </c>
      <c r="F9" s="3">
        <v>410.13</v>
      </c>
      <c r="G9" s="3">
        <v>455.07</v>
      </c>
      <c r="H9" s="3">
        <v>493.5</v>
      </c>
      <c r="I9" s="3">
        <v>390.59999999999997</v>
      </c>
      <c r="J9" s="3">
        <v>511.34999999999997</v>
      </c>
      <c r="K9" s="3">
        <v>539.06999999999994</v>
      </c>
      <c r="L9" s="3">
        <v>552.92999999999995</v>
      </c>
      <c r="M9" s="3">
        <v>578.76</v>
      </c>
      <c r="N9" s="3">
        <v>606.9</v>
      </c>
      <c r="P9" t="s">
        <v>75</v>
      </c>
      <c r="Q9" s="3">
        <f t="shared" si="2"/>
        <v>5840.52</v>
      </c>
    </row>
    <row r="10" spans="1:17" x14ac:dyDescent="0.25">
      <c r="A10" t="s">
        <v>217</v>
      </c>
      <c r="C10" s="3">
        <v>315</v>
      </c>
      <c r="D10" s="3">
        <v>315</v>
      </c>
      <c r="E10" s="3">
        <v>315</v>
      </c>
      <c r="F10" s="3">
        <v>315</v>
      </c>
      <c r="G10" s="3">
        <v>315</v>
      </c>
      <c r="H10" s="3">
        <v>315</v>
      </c>
      <c r="I10" s="3">
        <v>357</v>
      </c>
      <c r="J10" s="3">
        <v>357</v>
      </c>
      <c r="K10" s="3">
        <v>357</v>
      </c>
      <c r="L10" s="3">
        <v>357</v>
      </c>
      <c r="M10" s="3">
        <v>357</v>
      </c>
      <c r="N10" s="3">
        <v>357</v>
      </c>
      <c r="P10" t="s">
        <v>75</v>
      </c>
      <c r="Q10" s="3">
        <f t="shared" si="2"/>
        <v>4032</v>
      </c>
    </row>
    <row r="11" spans="1:17" x14ac:dyDescent="0.25">
      <c r="A11" t="s">
        <v>218</v>
      </c>
      <c r="C11" s="3">
        <v>31.5</v>
      </c>
      <c r="D11" s="3">
        <v>31.5</v>
      </c>
      <c r="E11" s="3">
        <v>31.5</v>
      </c>
      <c r="F11" s="3">
        <v>31.5</v>
      </c>
      <c r="G11" s="3">
        <v>31.5</v>
      </c>
      <c r="H11" s="3">
        <v>31.5</v>
      </c>
      <c r="I11" s="3">
        <v>31.5</v>
      </c>
      <c r="J11" s="3">
        <v>31.5</v>
      </c>
      <c r="K11" s="3">
        <v>37.799999999999997</v>
      </c>
      <c r="L11" s="3">
        <v>37.799999999999997</v>
      </c>
      <c r="M11" s="3">
        <v>37.799999999999997</v>
      </c>
      <c r="N11" s="3">
        <v>37.799999999999997</v>
      </c>
      <c r="P11" t="s">
        <v>75</v>
      </c>
      <c r="Q11" s="3">
        <f t="shared" si="2"/>
        <v>403.20000000000005</v>
      </c>
    </row>
    <row r="12" spans="1:17" x14ac:dyDescent="0.25">
      <c r="A12" t="s">
        <v>219</v>
      </c>
      <c r="C12" s="3">
        <v>945</v>
      </c>
      <c r="D12" s="3">
        <v>945</v>
      </c>
      <c r="E12" s="3">
        <v>630</v>
      </c>
      <c r="F12" s="3">
        <v>525</v>
      </c>
      <c r="G12" s="3">
        <v>420</v>
      </c>
      <c r="H12" s="3">
        <v>315</v>
      </c>
      <c r="I12" s="3">
        <v>315</v>
      </c>
      <c r="J12" s="3">
        <v>315</v>
      </c>
      <c r="K12" s="3">
        <v>630</v>
      </c>
      <c r="L12" s="3">
        <v>630</v>
      </c>
      <c r="M12" s="3">
        <v>630</v>
      </c>
      <c r="N12" s="3">
        <v>630</v>
      </c>
      <c r="P12" t="s">
        <v>75</v>
      </c>
      <c r="Q12" s="3">
        <f t="shared" si="2"/>
        <v>6930</v>
      </c>
    </row>
    <row r="13" spans="1:17" x14ac:dyDescent="0.25">
      <c r="A13" t="s">
        <v>220</v>
      </c>
      <c r="C13" s="3">
        <v>263.55</v>
      </c>
      <c r="D13" s="3">
        <v>186.9</v>
      </c>
      <c r="E13" s="3">
        <v>202.23</v>
      </c>
      <c r="F13" s="3">
        <v>205.79999999999998</v>
      </c>
      <c r="G13" s="3">
        <v>213.15</v>
      </c>
      <c r="H13" s="3">
        <v>238.35</v>
      </c>
      <c r="I13" s="3">
        <v>204.75</v>
      </c>
      <c r="J13" s="3">
        <v>177.45</v>
      </c>
      <c r="K13" s="3">
        <v>284.76</v>
      </c>
      <c r="L13" s="3">
        <v>261.02999999999997</v>
      </c>
      <c r="M13" s="3">
        <v>301.56</v>
      </c>
      <c r="N13" s="3">
        <v>328.22999999999996</v>
      </c>
      <c r="P13" t="s">
        <v>75</v>
      </c>
      <c r="Q13" s="3">
        <f t="shared" si="2"/>
        <v>2867.76</v>
      </c>
    </row>
    <row r="14" spans="1:17" x14ac:dyDescent="0.25">
      <c r="C14" s="3">
        <f>SUM(C2:C13)</f>
        <v>-4253.1299999999983</v>
      </c>
      <c r="D14" s="3">
        <f t="shared" ref="D14:N14" si="3">SUM(D2:D13)</f>
        <v>-6182.8200000000033</v>
      </c>
      <c r="E14" s="3">
        <f t="shared" si="3"/>
        <v>-4656.33</v>
      </c>
      <c r="F14" s="3">
        <f t="shared" si="3"/>
        <v>-9211.0200000000023</v>
      </c>
      <c r="G14" s="3">
        <f t="shared" si="3"/>
        <v>-14235.060000000001</v>
      </c>
      <c r="H14" s="3">
        <f t="shared" si="3"/>
        <v>-9102.8700000000026</v>
      </c>
      <c r="I14" s="3">
        <f t="shared" si="3"/>
        <v>-15550.289999999997</v>
      </c>
      <c r="J14" s="3">
        <f t="shared" si="3"/>
        <v>-15017.939999999997</v>
      </c>
      <c r="K14" s="3">
        <f t="shared" si="3"/>
        <v>-13478.219999999998</v>
      </c>
      <c r="L14" s="3">
        <f t="shared" si="3"/>
        <v>-14463.330000000004</v>
      </c>
      <c r="M14" s="3">
        <f t="shared" si="3"/>
        <v>-13327.859999999999</v>
      </c>
      <c r="N14" s="3">
        <f t="shared" si="3"/>
        <v>-16812.810000000001</v>
      </c>
      <c r="O14" s="3">
        <f>SUM(C14:N14)</f>
        <v>-136291.68000000002</v>
      </c>
    </row>
    <row r="17" spans="1:5" x14ac:dyDescent="0.25">
      <c r="A17" s="66">
        <v>42736</v>
      </c>
      <c r="B17" s="4" t="s">
        <v>221</v>
      </c>
      <c r="C17" s="3">
        <v>-4253.1299999999983</v>
      </c>
      <c r="D17" s="76">
        <v>0.23</v>
      </c>
      <c r="E17" s="76">
        <f>-C17*D17</f>
        <v>978.2198999999996</v>
      </c>
    </row>
    <row r="18" spans="1:5" x14ac:dyDescent="0.25">
      <c r="A18" s="66">
        <v>42767</v>
      </c>
      <c r="B18" s="4" t="s">
        <v>221</v>
      </c>
      <c r="C18" s="3">
        <v>-6182.8200000000033</v>
      </c>
      <c r="D18" s="76">
        <v>0.2</v>
      </c>
      <c r="E18" s="76">
        <f t="shared" ref="E18:E28" si="4">-C18*D18</f>
        <v>1236.5640000000008</v>
      </c>
    </row>
    <row r="19" spans="1:5" x14ac:dyDescent="0.25">
      <c r="A19" s="66">
        <v>42795</v>
      </c>
      <c r="B19" s="4" t="s">
        <v>221</v>
      </c>
      <c r="C19" s="3">
        <v>-4656.33</v>
      </c>
      <c r="D19" s="76">
        <v>0.18</v>
      </c>
      <c r="E19" s="76">
        <f t="shared" si="4"/>
        <v>838.13939999999991</v>
      </c>
    </row>
    <row r="20" spans="1:5" x14ac:dyDescent="0.25">
      <c r="A20" s="66">
        <v>42826</v>
      </c>
      <c r="B20" s="4" t="s">
        <v>221</v>
      </c>
      <c r="C20" s="3">
        <v>-9211.0200000000023</v>
      </c>
      <c r="D20" s="76">
        <v>0.15</v>
      </c>
      <c r="E20" s="76">
        <f t="shared" si="4"/>
        <v>1381.6530000000002</v>
      </c>
    </row>
    <row r="21" spans="1:5" x14ac:dyDescent="0.25">
      <c r="A21" s="66">
        <v>42856</v>
      </c>
      <c r="B21" s="4" t="s">
        <v>221</v>
      </c>
      <c r="C21" s="3">
        <v>-14235.060000000001</v>
      </c>
      <c r="D21" s="76">
        <v>0.13</v>
      </c>
      <c r="E21" s="76">
        <f t="shared" si="4"/>
        <v>1850.5578000000003</v>
      </c>
    </row>
    <row r="22" spans="1:5" x14ac:dyDescent="0.25">
      <c r="A22" s="66">
        <v>42887</v>
      </c>
      <c r="B22" s="4" t="s">
        <v>221</v>
      </c>
      <c r="C22" s="3">
        <v>-9102.8700000000026</v>
      </c>
      <c r="D22" s="76">
        <v>0.12</v>
      </c>
      <c r="E22" s="76">
        <f t="shared" si="4"/>
        <v>1092.3444000000002</v>
      </c>
    </row>
    <row r="23" spans="1:5" x14ac:dyDescent="0.25">
      <c r="A23" s="66">
        <v>42917</v>
      </c>
      <c r="B23" s="4" t="s">
        <v>221</v>
      </c>
      <c r="C23" s="3">
        <v>-15550.289999999997</v>
      </c>
      <c r="D23" s="76">
        <v>0.1</v>
      </c>
      <c r="E23" s="76">
        <f t="shared" si="4"/>
        <v>1555.0289999999998</v>
      </c>
    </row>
    <row r="24" spans="1:5" x14ac:dyDescent="0.25">
      <c r="A24" s="66">
        <v>42948</v>
      </c>
      <c r="B24" s="4" t="s">
        <v>221</v>
      </c>
      <c r="C24" s="3">
        <v>-15017.939999999997</v>
      </c>
      <c r="D24" s="76">
        <v>0.08</v>
      </c>
      <c r="E24" s="76">
        <f t="shared" si="4"/>
        <v>1201.4351999999997</v>
      </c>
    </row>
    <row r="25" spans="1:5" x14ac:dyDescent="0.25">
      <c r="A25" s="66">
        <v>42979</v>
      </c>
      <c r="B25" s="4" t="s">
        <v>221</v>
      </c>
      <c r="C25" s="3">
        <v>-13478.219999999998</v>
      </c>
      <c r="D25" s="76">
        <v>0.06</v>
      </c>
      <c r="E25" s="76">
        <f t="shared" si="4"/>
        <v>808.69319999999982</v>
      </c>
    </row>
    <row r="26" spans="1:5" x14ac:dyDescent="0.25">
      <c r="A26" s="66">
        <v>43009</v>
      </c>
      <c r="B26" s="4" t="s">
        <v>221</v>
      </c>
      <c r="C26" s="3">
        <v>-14463.330000000004</v>
      </c>
      <c r="D26" s="76">
        <v>0.06</v>
      </c>
      <c r="E26" s="76">
        <f t="shared" si="4"/>
        <v>867.79980000000023</v>
      </c>
    </row>
    <row r="27" spans="1:5" x14ac:dyDescent="0.25">
      <c r="A27" s="66">
        <v>43040</v>
      </c>
      <c r="B27" s="4" t="s">
        <v>221</v>
      </c>
      <c r="C27" s="3">
        <v>-13327.859999999999</v>
      </c>
      <c r="D27" s="76">
        <v>0.03</v>
      </c>
      <c r="E27" s="76">
        <f t="shared" si="4"/>
        <v>399.83579999999995</v>
      </c>
    </row>
    <row r="28" spans="1:5" x14ac:dyDescent="0.25">
      <c r="A28" s="66">
        <v>43070</v>
      </c>
      <c r="B28" s="4" t="s">
        <v>221</v>
      </c>
      <c r="C28" s="3">
        <v>-16812.810000000001</v>
      </c>
      <c r="D28" s="76">
        <v>0</v>
      </c>
      <c r="E28" s="76">
        <f t="shared" si="4"/>
        <v>0</v>
      </c>
    </row>
    <row r="29" spans="1:5" x14ac:dyDescent="0.25">
      <c r="C29" s="3">
        <f>SUM(C17:C28)</f>
        <v>-136291.68000000002</v>
      </c>
      <c r="E29" s="3">
        <f>SUM(E17:E28)</f>
        <v>12210.271500000003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workbookViewId="0">
      <pane xSplit="1" ySplit="2" topLeftCell="Q42" activePane="bottomRight" state="frozen"/>
      <selection pane="topRight" activeCell="B1" sqref="B1"/>
      <selection pane="bottomLeft" activeCell="A2" sqref="A2"/>
      <selection pane="bottomRight" activeCell="B3" sqref="B3"/>
    </sheetView>
  </sheetViews>
  <sheetFormatPr baseColWidth="10" defaultRowHeight="15" x14ac:dyDescent="0.25"/>
  <cols>
    <col min="1" max="1" width="25.42578125" customWidth="1"/>
    <col min="2" max="14" width="10.85546875" bestFit="1" customWidth="1"/>
    <col min="15" max="16" width="14.85546875" customWidth="1"/>
    <col min="17" max="17" width="17.7109375" bestFit="1" customWidth="1"/>
    <col min="18" max="18" width="12.42578125" bestFit="1" customWidth="1"/>
  </cols>
  <sheetData>
    <row r="1" spans="1:19" x14ac:dyDescent="0.25">
      <c r="A1" s="42" t="s">
        <v>77</v>
      </c>
      <c r="B1" s="48">
        <v>42705</v>
      </c>
      <c r="C1" s="48">
        <v>42736</v>
      </c>
      <c r="D1" s="48">
        <v>42767</v>
      </c>
      <c r="E1" s="48">
        <v>42795</v>
      </c>
      <c r="F1" s="48">
        <v>42826</v>
      </c>
      <c r="G1" s="48">
        <v>42856</v>
      </c>
      <c r="H1" s="48">
        <v>42887</v>
      </c>
      <c r="I1" s="48">
        <v>42917</v>
      </c>
      <c r="J1" s="48">
        <v>42948</v>
      </c>
      <c r="K1" s="48">
        <v>42979</v>
      </c>
      <c r="L1" s="48">
        <v>43009</v>
      </c>
      <c r="M1" s="48">
        <v>43040</v>
      </c>
      <c r="N1" s="48">
        <v>43070</v>
      </c>
      <c r="O1" s="95" t="s">
        <v>0</v>
      </c>
      <c r="P1" s="95" t="s">
        <v>221</v>
      </c>
    </row>
    <row r="2" spans="1:19" x14ac:dyDescent="0.25">
      <c r="A2" s="1" t="s">
        <v>10</v>
      </c>
      <c r="B2" s="2">
        <f>69381+31995+145000</f>
        <v>246376</v>
      </c>
      <c r="O2" s="94">
        <f>SUM(B2:N2)</f>
        <v>246376</v>
      </c>
      <c r="Q2" t="s">
        <v>0</v>
      </c>
      <c r="R2" s="3">
        <f t="shared" ref="R2:R8" si="0">+B2</f>
        <v>246376</v>
      </c>
    </row>
    <row r="3" spans="1:19" x14ac:dyDescent="0.25">
      <c r="A3" s="1" t="s">
        <v>11</v>
      </c>
      <c r="B3" s="2">
        <f>15.65*5000</f>
        <v>78250</v>
      </c>
      <c r="O3" s="94"/>
      <c r="Q3" t="s">
        <v>96</v>
      </c>
      <c r="R3" s="3">
        <f t="shared" si="0"/>
        <v>78250</v>
      </c>
    </row>
    <row r="4" spans="1:19" x14ac:dyDescent="0.25">
      <c r="A4" s="1" t="s">
        <v>59</v>
      </c>
      <c r="B4" s="2">
        <f>562*400</f>
        <v>224800</v>
      </c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94"/>
      <c r="Q4" t="s">
        <v>97</v>
      </c>
      <c r="R4" s="3">
        <f t="shared" si="0"/>
        <v>224800</v>
      </c>
    </row>
    <row r="5" spans="1:19" x14ac:dyDescent="0.25">
      <c r="A5" s="1" t="s">
        <v>85</v>
      </c>
      <c r="B5" s="2">
        <v>22244</v>
      </c>
      <c r="C5" s="58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94"/>
      <c r="Q5" t="s">
        <v>98</v>
      </c>
      <c r="R5" s="3">
        <f t="shared" si="0"/>
        <v>22244</v>
      </c>
    </row>
    <row r="6" spans="1:19" x14ac:dyDescent="0.25">
      <c r="A6" s="1" t="s">
        <v>86</v>
      </c>
      <c r="B6" s="2">
        <v>98355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>
        <f>153549*0.05</f>
        <v>7677.4500000000007</v>
      </c>
      <c r="N6" s="43"/>
      <c r="O6" s="94"/>
      <c r="Q6" t="s">
        <v>99</v>
      </c>
      <c r="R6" s="3">
        <f t="shared" si="0"/>
        <v>98355</v>
      </c>
    </row>
    <row r="7" spans="1:19" x14ac:dyDescent="0.25">
      <c r="A7" s="1" t="s">
        <v>87</v>
      </c>
      <c r="B7" s="2">
        <v>44753</v>
      </c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94"/>
      <c r="Q7" t="s">
        <v>100</v>
      </c>
      <c r="R7" s="3">
        <f t="shared" si="0"/>
        <v>44753</v>
      </c>
    </row>
    <row r="8" spans="1:19" x14ac:dyDescent="0.25">
      <c r="A8" s="1" t="s">
        <v>73</v>
      </c>
      <c r="B8" s="3">
        <f>SUM(B2:B7)*-1</f>
        <v>-714778</v>
      </c>
      <c r="C8" s="47"/>
      <c r="O8" s="94"/>
      <c r="Q8" t="s">
        <v>1</v>
      </c>
      <c r="R8" s="3">
        <f t="shared" si="0"/>
        <v>-714778</v>
      </c>
    </row>
    <row r="9" spans="1:19" x14ac:dyDescent="0.25">
      <c r="O9" s="94"/>
    </row>
    <row r="10" spans="1:19" x14ac:dyDescent="0.25">
      <c r="O10" s="94"/>
    </row>
    <row r="11" spans="1:19" x14ac:dyDescent="0.25">
      <c r="A11" s="42" t="s">
        <v>74</v>
      </c>
      <c r="C11" s="51">
        <v>85500</v>
      </c>
      <c r="D11" s="51">
        <v>74100</v>
      </c>
      <c r="E11" s="51">
        <v>71400</v>
      </c>
      <c r="F11" s="51">
        <v>83300</v>
      </c>
      <c r="G11" s="51">
        <v>48000</v>
      </c>
      <c r="H11" s="51">
        <v>100800</v>
      </c>
      <c r="I11" s="51">
        <v>96750</v>
      </c>
      <c r="J11" s="51">
        <v>100500</v>
      </c>
      <c r="K11" s="51">
        <v>110400</v>
      </c>
      <c r="L11" s="51">
        <v>110400</v>
      </c>
      <c r="M11" s="51">
        <v>126900</v>
      </c>
      <c r="N11" s="51">
        <v>142350</v>
      </c>
      <c r="O11" s="94"/>
      <c r="P11" s="41"/>
      <c r="Q11" t="s">
        <v>97</v>
      </c>
      <c r="R11" s="3">
        <f>SUM(C11:N11)</f>
        <v>1150400</v>
      </c>
    </row>
    <row r="12" spans="1:19" x14ac:dyDescent="0.25">
      <c r="A12" s="39" t="s">
        <v>75</v>
      </c>
      <c r="C12" s="55">
        <v>17955</v>
      </c>
      <c r="D12" s="55">
        <v>15561</v>
      </c>
      <c r="E12" s="55">
        <v>14994</v>
      </c>
      <c r="F12" s="55">
        <v>17493</v>
      </c>
      <c r="G12" s="55">
        <v>10080</v>
      </c>
      <c r="H12" s="55">
        <v>21168</v>
      </c>
      <c r="I12" s="55">
        <v>20317.5</v>
      </c>
      <c r="J12" s="55">
        <v>21105</v>
      </c>
      <c r="K12" s="55">
        <v>23184</v>
      </c>
      <c r="L12" s="55">
        <v>23184</v>
      </c>
      <c r="M12" s="55">
        <v>26649</v>
      </c>
      <c r="N12" s="55">
        <v>29893.5</v>
      </c>
      <c r="P12" s="94">
        <f>SUM(B12:N12)</f>
        <v>241584</v>
      </c>
      <c r="Q12" t="s">
        <v>75</v>
      </c>
      <c r="R12" s="3">
        <f>SUM(C12:Q12)</f>
        <v>483168</v>
      </c>
    </row>
    <row r="13" spans="1:19" x14ac:dyDescent="0.25">
      <c r="A13" s="38" t="s">
        <v>129</v>
      </c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>
        <v>7677.45</v>
      </c>
      <c r="N13" s="55"/>
      <c r="O13" s="94"/>
      <c r="P13" s="40"/>
      <c r="Q13" t="s">
        <v>130</v>
      </c>
      <c r="R13" s="3">
        <f>SUM(C13:Q13)</f>
        <v>7677.45</v>
      </c>
    </row>
    <row r="14" spans="1:19" x14ac:dyDescent="0.25">
      <c r="A14" s="38" t="s">
        <v>76</v>
      </c>
      <c r="C14" s="50">
        <v>-103455</v>
      </c>
      <c r="D14" s="50">
        <f>SUM(D11:D12)*-1</f>
        <v>-89661</v>
      </c>
      <c r="E14" s="50">
        <f t="shared" ref="E14:L14" si="1">SUM(E11:E12)*-1</f>
        <v>-86394</v>
      </c>
      <c r="F14" s="50">
        <f t="shared" si="1"/>
        <v>-100793</v>
      </c>
      <c r="G14" s="50">
        <f t="shared" si="1"/>
        <v>-58080</v>
      </c>
      <c r="H14" s="50">
        <f t="shared" si="1"/>
        <v>-121968</v>
      </c>
      <c r="I14" s="50">
        <f t="shared" si="1"/>
        <v>-117067.5</v>
      </c>
      <c r="J14" s="50">
        <f t="shared" si="1"/>
        <v>-121605</v>
      </c>
      <c r="K14" s="50">
        <f t="shared" si="1"/>
        <v>-133584</v>
      </c>
      <c r="L14" s="50">
        <f t="shared" si="1"/>
        <v>-133584</v>
      </c>
      <c r="M14" s="50">
        <f>SUM(M11:M13)*-1</f>
        <v>-161226.45000000001</v>
      </c>
      <c r="N14" s="56">
        <v>0</v>
      </c>
      <c r="O14" s="94">
        <f t="shared" ref="O14:O62" si="2">SUM(B14:N14)</f>
        <v>-1227417.95</v>
      </c>
      <c r="P14" s="38"/>
      <c r="Q14" t="s">
        <v>0</v>
      </c>
      <c r="R14" s="3">
        <f>SUM(C14:Q14)</f>
        <v>-2454835.9</v>
      </c>
    </row>
    <row r="15" spans="1:19" x14ac:dyDescent="0.25">
      <c r="A15" s="38" t="s">
        <v>89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6">
        <f>SUM(N11:N14)*-1</f>
        <v>-172243.5</v>
      </c>
      <c r="O15" s="94"/>
      <c r="P15" s="50"/>
      <c r="Q15" t="s">
        <v>101</v>
      </c>
      <c r="R15" s="3">
        <f>+N15</f>
        <v>-172243.5</v>
      </c>
      <c r="S15" s="3"/>
    </row>
    <row r="16" spans="1:19" x14ac:dyDescent="0.25">
      <c r="A16" s="41"/>
      <c r="B16" s="4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94"/>
    </row>
    <row r="17" spans="1:19" x14ac:dyDescent="0.25">
      <c r="A17" s="41" t="s">
        <v>90</v>
      </c>
      <c r="B17" s="4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6">
        <f>SUM(M18:M21)*-1</f>
        <v>272472.7</v>
      </c>
      <c r="N17" s="51"/>
      <c r="O17" s="94"/>
      <c r="P17" s="3"/>
      <c r="Q17" t="s">
        <v>102</v>
      </c>
      <c r="R17" s="3">
        <f>+M17</f>
        <v>272472.7</v>
      </c>
    </row>
    <row r="18" spans="1:19" x14ac:dyDescent="0.25">
      <c r="A18" s="42" t="s">
        <v>0</v>
      </c>
      <c r="C18" s="3">
        <f>SUM(C20:C21)*-1</f>
        <v>172562.94</v>
      </c>
      <c r="D18" s="3">
        <f t="shared" ref="D18:N18" si="3">SUM(D20:D21)*-1</f>
        <v>152699.58000000002</v>
      </c>
      <c r="E18" s="3">
        <f t="shared" si="3"/>
        <v>138662.37</v>
      </c>
      <c r="F18" s="3">
        <f t="shared" si="3"/>
        <v>178835.58000000002</v>
      </c>
      <c r="G18" s="3">
        <f t="shared" si="3"/>
        <v>163350</v>
      </c>
      <c r="H18" s="3">
        <f t="shared" si="3"/>
        <v>200332.44</v>
      </c>
      <c r="I18" s="3">
        <f t="shared" si="3"/>
        <v>230388.84</v>
      </c>
      <c r="J18" s="3">
        <f t="shared" si="3"/>
        <v>233481.60000000001</v>
      </c>
      <c r="K18" s="3">
        <f t="shared" si="3"/>
        <v>238948.38</v>
      </c>
      <c r="L18" s="3">
        <f t="shared" si="3"/>
        <v>244959.66</v>
      </c>
      <c r="M18" s="57">
        <v>0</v>
      </c>
      <c r="N18" s="3">
        <f t="shared" si="3"/>
        <v>298908.71999999997</v>
      </c>
      <c r="O18" s="94">
        <f t="shared" si="2"/>
        <v>2253130.11</v>
      </c>
      <c r="Q18" t="s">
        <v>0</v>
      </c>
      <c r="R18" s="3">
        <f>SUM(C18:N18)</f>
        <v>2253130.11</v>
      </c>
    </row>
    <row r="19" spans="1:19" x14ac:dyDescent="0.25">
      <c r="A19" s="38" t="s">
        <v>128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57">
        <v>-12974.89</v>
      </c>
      <c r="N19" s="3"/>
      <c r="O19" s="94"/>
      <c r="Q19" t="s">
        <v>131</v>
      </c>
      <c r="R19" s="3">
        <f>SUM(C19:N19)</f>
        <v>-12974.89</v>
      </c>
    </row>
    <row r="20" spans="1:19" x14ac:dyDescent="0.25">
      <c r="A20" t="s">
        <v>78</v>
      </c>
      <c r="C20" s="3">
        <v>-29948.94</v>
      </c>
      <c r="D20" s="3">
        <v>-26501.58</v>
      </c>
      <c r="E20" s="3">
        <v>-24065.37</v>
      </c>
      <c r="F20" s="3">
        <v>-31037.58</v>
      </c>
      <c r="G20" s="3">
        <v>-28350</v>
      </c>
      <c r="H20" s="3">
        <v>-34768.44</v>
      </c>
      <c r="I20" s="3">
        <v>-39984.839999999997</v>
      </c>
      <c r="J20" s="3">
        <v>-40521.599999999999</v>
      </c>
      <c r="K20" s="3">
        <v>-41470.379999999997</v>
      </c>
      <c r="L20" s="3">
        <v>-42513.66</v>
      </c>
      <c r="M20" s="3">
        <v>-45036.81</v>
      </c>
      <c r="N20" s="3">
        <v>-51876.72</v>
      </c>
      <c r="P20" s="94">
        <f>SUM(B20:N20)</f>
        <v>-436075.92000000004</v>
      </c>
      <c r="Q20" t="s">
        <v>78</v>
      </c>
      <c r="R20" s="3">
        <f t="shared" ref="R20:R21" si="4">SUM(C20:N20)</f>
        <v>-436075.92000000004</v>
      </c>
    </row>
    <row r="21" spans="1:19" x14ac:dyDescent="0.25">
      <c r="A21" t="s">
        <v>79</v>
      </c>
      <c r="C21" s="3">
        <v>-142614</v>
      </c>
      <c r="D21" s="3">
        <v>-126198</v>
      </c>
      <c r="E21" s="3">
        <v>-114597</v>
      </c>
      <c r="F21" s="3">
        <v>-147798</v>
      </c>
      <c r="G21" s="3">
        <v>-135000</v>
      </c>
      <c r="H21" s="3">
        <v>-165564</v>
      </c>
      <c r="I21" s="3">
        <v>-190404</v>
      </c>
      <c r="J21" s="3">
        <v>-192960</v>
      </c>
      <c r="K21" s="3">
        <v>-197478</v>
      </c>
      <c r="L21" s="3">
        <v>-202446</v>
      </c>
      <c r="M21" s="3">
        <v>-214461</v>
      </c>
      <c r="N21" s="3">
        <v>-247032</v>
      </c>
      <c r="O21" s="94"/>
      <c r="Q21" t="s">
        <v>7</v>
      </c>
      <c r="R21" s="3">
        <f t="shared" si="4"/>
        <v>-2076552</v>
      </c>
      <c r="S21" s="3">
        <f>SUM(R17:R21)</f>
        <v>0</v>
      </c>
    </row>
    <row r="22" spans="1:19" x14ac:dyDescent="0.25">
      <c r="M22" s="3"/>
      <c r="O22" s="94"/>
      <c r="R22" s="3"/>
    </row>
    <row r="23" spans="1:19" x14ac:dyDescent="0.25">
      <c r="A23" t="s">
        <v>39</v>
      </c>
      <c r="C23" s="3">
        <v>8000</v>
      </c>
      <c r="D23" s="3">
        <v>8000</v>
      </c>
      <c r="E23" s="3">
        <v>8000</v>
      </c>
      <c r="F23" s="3">
        <v>8000</v>
      </c>
      <c r="G23" s="3">
        <v>8000</v>
      </c>
      <c r="H23" s="3">
        <v>8000</v>
      </c>
      <c r="I23" s="3">
        <v>8800</v>
      </c>
      <c r="J23" s="3">
        <v>8800</v>
      </c>
      <c r="K23" s="3">
        <v>8800</v>
      </c>
      <c r="L23" s="3">
        <v>8800</v>
      </c>
      <c r="M23" s="3">
        <v>8800</v>
      </c>
      <c r="N23" s="3">
        <v>8800</v>
      </c>
      <c r="O23" s="94"/>
      <c r="Q23" t="s">
        <v>103</v>
      </c>
      <c r="R23" s="3">
        <f>SUM(C23:N23)</f>
        <v>100800</v>
      </c>
    </row>
    <row r="24" spans="1:19" x14ac:dyDescent="0.25">
      <c r="A24" t="s">
        <v>75</v>
      </c>
      <c r="C24" s="3">
        <v>1680</v>
      </c>
      <c r="D24" s="3">
        <v>1680</v>
      </c>
      <c r="E24" s="3">
        <v>1680</v>
      </c>
      <c r="F24" s="3">
        <v>1680</v>
      </c>
      <c r="G24" s="3">
        <v>1680</v>
      </c>
      <c r="H24" s="3">
        <v>1680</v>
      </c>
      <c r="I24" s="3">
        <v>1848</v>
      </c>
      <c r="J24" s="3">
        <v>1848</v>
      </c>
      <c r="K24" s="3">
        <v>1848</v>
      </c>
      <c r="L24" s="3">
        <v>1848</v>
      </c>
      <c r="M24" s="3">
        <v>1848</v>
      </c>
      <c r="N24" s="3">
        <v>1848</v>
      </c>
      <c r="P24" s="94">
        <f>SUM(B24:N24)</f>
        <v>21168</v>
      </c>
      <c r="Q24" t="s">
        <v>75</v>
      </c>
      <c r="R24" s="3">
        <f t="shared" ref="R24:R25" si="5">SUM(C24:N24)</f>
        <v>21168</v>
      </c>
    </row>
    <row r="25" spans="1:19" x14ac:dyDescent="0.25">
      <c r="A25" t="s">
        <v>0</v>
      </c>
      <c r="C25" s="3">
        <f>SUM(C23:C24)*-1</f>
        <v>-9680</v>
      </c>
      <c r="D25" s="3">
        <f t="shared" ref="D25:N25" si="6">SUM(D23:D24)*-1</f>
        <v>-9680</v>
      </c>
      <c r="E25" s="3">
        <f t="shared" si="6"/>
        <v>-9680</v>
      </c>
      <c r="F25" s="3">
        <f t="shared" si="6"/>
        <v>-9680</v>
      </c>
      <c r="G25" s="3">
        <f t="shared" si="6"/>
        <v>-9680</v>
      </c>
      <c r="H25" s="3">
        <f t="shared" si="6"/>
        <v>-9680</v>
      </c>
      <c r="I25" s="3">
        <f t="shared" si="6"/>
        <v>-10648</v>
      </c>
      <c r="J25" s="3">
        <f t="shared" si="6"/>
        <v>-10648</v>
      </c>
      <c r="K25" s="3">
        <f t="shared" si="6"/>
        <v>-10648</v>
      </c>
      <c r="L25" s="3">
        <f t="shared" si="6"/>
        <v>-10648</v>
      </c>
      <c r="M25" s="3">
        <f t="shared" si="6"/>
        <v>-10648</v>
      </c>
      <c r="N25" s="3">
        <f t="shared" si="6"/>
        <v>-10648</v>
      </c>
      <c r="O25" s="94">
        <f t="shared" si="2"/>
        <v>-121968</v>
      </c>
      <c r="Q25" t="s">
        <v>0</v>
      </c>
      <c r="R25" s="3">
        <f t="shared" si="5"/>
        <v>-121968</v>
      </c>
    </row>
    <row r="26" spans="1:19" x14ac:dyDescent="0.25"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4"/>
    </row>
    <row r="27" spans="1:19" x14ac:dyDescent="0.25">
      <c r="A27" t="s">
        <v>61</v>
      </c>
      <c r="C27" s="3">
        <v>10000</v>
      </c>
      <c r="D27" s="3">
        <v>10000</v>
      </c>
      <c r="E27" s="3">
        <v>10000</v>
      </c>
      <c r="F27" s="3">
        <v>10000</v>
      </c>
      <c r="G27" s="3">
        <v>10000</v>
      </c>
      <c r="H27" s="3">
        <v>15000</v>
      </c>
      <c r="I27" s="3">
        <v>10000</v>
      </c>
      <c r="J27" s="3">
        <v>11500</v>
      </c>
      <c r="K27" s="3">
        <v>11500</v>
      </c>
      <c r="L27" s="3">
        <v>11500</v>
      </c>
      <c r="M27" s="3">
        <v>11500</v>
      </c>
      <c r="N27" s="3">
        <v>17250</v>
      </c>
      <c r="O27" s="94"/>
      <c r="Q27" t="s">
        <v>104</v>
      </c>
      <c r="R27" s="3">
        <f>SUM(C27:N27)</f>
        <v>138250</v>
      </c>
    </row>
    <row r="28" spans="1:19" x14ac:dyDescent="0.25">
      <c r="A28" t="s">
        <v>64</v>
      </c>
      <c r="C28" s="3">
        <v>3300</v>
      </c>
      <c r="D28" s="3">
        <v>3300</v>
      </c>
      <c r="E28" s="3">
        <v>3300</v>
      </c>
      <c r="F28" s="3">
        <v>3300</v>
      </c>
      <c r="G28" s="3">
        <v>3300</v>
      </c>
      <c r="H28" s="3">
        <v>4950</v>
      </c>
      <c r="I28" s="3">
        <v>3300</v>
      </c>
      <c r="J28" s="3">
        <v>3795</v>
      </c>
      <c r="K28" s="3">
        <v>3795</v>
      </c>
      <c r="L28" s="3">
        <v>3795</v>
      </c>
      <c r="M28" s="3">
        <v>3795</v>
      </c>
      <c r="N28" s="3">
        <v>5692.5</v>
      </c>
      <c r="O28" s="94"/>
      <c r="Q28" t="s">
        <v>105</v>
      </c>
      <c r="R28" s="3">
        <f t="shared" ref="R28:R32" si="7">SUM(C28:N28)</f>
        <v>45622.5</v>
      </c>
    </row>
    <row r="29" spans="1:19" x14ac:dyDescent="0.25">
      <c r="A29" t="s">
        <v>62</v>
      </c>
      <c r="C29" s="3">
        <v>8000</v>
      </c>
      <c r="D29" s="3">
        <v>8000</v>
      </c>
      <c r="E29" s="3">
        <v>8000</v>
      </c>
      <c r="F29" s="3">
        <v>8000</v>
      </c>
      <c r="G29" s="3">
        <v>8000</v>
      </c>
      <c r="H29" s="3">
        <v>12000</v>
      </c>
      <c r="I29" s="3">
        <v>8000</v>
      </c>
      <c r="J29" s="3">
        <v>9200</v>
      </c>
      <c r="K29" s="3">
        <v>9200</v>
      </c>
      <c r="L29" s="3">
        <v>9200</v>
      </c>
      <c r="M29" s="3">
        <v>9200</v>
      </c>
      <c r="N29" s="3">
        <v>13800</v>
      </c>
      <c r="O29" s="94"/>
      <c r="Q29" t="s">
        <v>106</v>
      </c>
      <c r="R29" s="3">
        <f t="shared" si="7"/>
        <v>110600</v>
      </c>
    </row>
    <row r="30" spans="1:19" x14ac:dyDescent="0.25">
      <c r="A30" t="s">
        <v>63</v>
      </c>
      <c r="C30" s="3">
        <v>2640</v>
      </c>
      <c r="D30" s="3">
        <v>2640</v>
      </c>
      <c r="E30" s="3">
        <v>2640</v>
      </c>
      <c r="F30" s="3">
        <v>2640</v>
      </c>
      <c r="G30" s="3">
        <v>2640</v>
      </c>
      <c r="H30" s="3">
        <v>3960</v>
      </c>
      <c r="I30" s="3">
        <v>2640</v>
      </c>
      <c r="J30" s="3">
        <v>3036</v>
      </c>
      <c r="K30" s="3">
        <v>3036</v>
      </c>
      <c r="L30" s="3">
        <v>3036</v>
      </c>
      <c r="M30" s="3">
        <v>3036</v>
      </c>
      <c r="N30" s="3">
        <v>4554</v>
      </c>
      <c r="O30" s="94"/>
      <c r="Q30" t="s">
        <v>107</v>
      </c>
      <c r="R30" s="3">
        <f t="shared" si="7"/>
        <v>36498</v>
      </c>
    </row>
    <row r="31" spans="1:19" x14ac:dyDescent="0.25">
      <c r="A31" t="s">
        <v>0</v>
      </c>
      <c r="C31" s="3">
        <f>SUM(C27:C30)*-1</f>
        <v>-23940</v>
      </c>
      <c r="D31" s="3">
        <f t="shared" ref="D31:M31" si="8">SUM(D27:D30)*-1</f>
        <v>-23940</v>
      </c>
      <c r="E31" s="3">
        <f t="shared" si="8"/>
        <v>-23940</v>
      </c>
      <c r="F31" s="3">
        <f t="shared" si="8"/>
        <v>-23940</v>
      </c>
      <c r="G31" s="3">
        <f t="shared" si="8"/>
        <v>-23940</v>
      </c>
      <c r="H31" s="3">
        <f t="shared" si="8"/>
        <v>-35910</v>
      </c>
      <c r="I31" s="3">
        <f t="shared" si="8"/>
        <v>-23940</v>
      </c>
      <c r="J31" s="3">
        <f t="shared" si="8"/>
        <v>-27531</v>
      </c>
      <c r="K31" s="3">
        <f t="shared" si="8"/>
        <v>-27531</v>
      </c>
      <c r="L31" s="3">
        <f t="shared" si="8"/>
        <v>-27531</v>
      </c>
      <c r="M31" s="3">
        <f t="shared" si="8"/>
        <v>-27531</v>
      </c>
      <c r="N31" s="57">
        <v>0</v>
      </c>
      <c r="O31" s="94">
        <f t="shared" si="2"/>
        <v>-289674</v>
      </c>
      <c r="Q31" t="s">
        <v>0</v>
      </c>
      <c r="R31" s="3">
        <f t="shared" si="7"/>
        <v>-289674</v>
      </c>
    </row>
    <row r="32" spans="1:19" x14ac:dyDescent="0.25">
      <c r="A32" t="s">
        <v>91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57">
        <f>SUM(N27:N31)*-1</f>
        <v>-41296.5</v>
      </c>
      <c r="O32" s="94"/>
      <c r="Q32" t="s">
        <v>108</v>
      </c>
      <c r="R32" s="3">
        <f t="shared" si="7"/>
        <v>-41296.5</v>
      </c>
    </row>
    <row r="33" spans="1:18" x14ac:dyDescent="0.25"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4"/>
      <c r="R33" s="3"/>
    </row>
    <row r="34" spans="1:18" x14ac:dyDescent="0.25">
      <c r="A34" t="s">
        <v>29</v>
      </c>
      <c r="C34" s="3">
        <v>2350</v>
      </c>
      <c r="D34" s="3">
        <v>2115</v>
      </c>
      <c r="E34" s="3">
        <v>2445</v>
      </c>
      <c r="F34" s="3">
        <v>2673</v>
      </c>
      <c r="G34" s="3">
        <v>2594</v>
      </c>
      <c r="H34" s="3">
        <v>2301</v>
      </c>
      <c r="I34" s="3">
        <v>2456</v>
      </c>
      <c r="J34" s="3">
        <v>2780</v>
      </c>
      <c r="K34" s="3">
        <v>2863</v>
      </c>
      <c r="L34" s="3">
        <v>2934</v>
      </c>
      <c r="M34" s="3">
        <v>2967</v>
      </c>
      <c r="N34" s="3">
        <v>3140</v>
      </c>
      <c r="O34" s="94"/>
      <c r="Q34" t="s">
        <v>109</v>
      </c>
      <c r="R34" s="3">
        <f>SUM(C34:N34)</f>
        <v>31618</v>
      </c>
    </row>
    <row r="35" spans="1:18" x14ac:dyDescent="0.25">
      <c r="A35" t="s">
        <v>30</v>
      </c>
      <c r="C35" s="3">
        <v>201</v>
      </c>
      <c r="D35" s="3">
        <v>235</v>
      </c>
      <c r="E35" s="3">
        <v>223</v>
      </c>
      <c r="F35" s="3">
        <v>215</v>
      </c>
      <c r="G35" s="3">
        <v>259</v>
      </c>
      <c r="H35" s="3">
        <v>242</v>
      </c>
      <c r="I35" s="3">
        <v>234</v>
      </c>
      <c r="J35" s="3">
        <v>247</v>
      </c>
      <c r="K35" s="3">
        <v>238</v>
      </c>
      <c r="L35" s="3">
        <v>251</v>
      </c>
      <c r="M35" s="3">
        <v>257</v>
      </c>
      <c r="N35" s="3">
        <v>261</v>
      </c>
      <c r="O35" s="94"/>
      <c r="Q35" t="s">
        <v>110</v>
      </c>
      <c r="R35" s="3">
        <f t="shared" ref="R35:R89" si="9">SUM(C35:N35)</f>
        <v>2863</v>
      </c>
    </row>
    <row r="36" spans="1:18" x14ac:dyDescent="0.25">
      <c r="A36" t="s">
        <v>0</v>
      </c>
      <c r="C36" s="3">
        <f>SUM(C34:C35)*-1</f>
        <v>-2551</v>
      </c>
      <c r="D36" s="3">
        <f t="shared" ref="D36:M36" si="10">SUM(D34:D35)*-1</f>
        <v>-2350</v>
      </c>
      <c r="E36" s="3">
        <f t="shared" si="10"/>
        <v>-2668</v>
      </c>
      <c r="F36" s="3">
        <f t="shared" si="10"/>
        <v>-2888</v>
      </c>
      <c r="G36" s="3">
        <f t="shared" si="10"/>
        <v>-2853</v>
      </c>
      <c r="H36" s="3">
        <f t="shared" si="10"/>
        <v>-2543</v>
      </c>
      <c r="I36" s="3">
        <f t="shared" si="10"/>
        <v>-2690</v>
      </c>
      <c r="J36" s="3">
        <f t="shared" si="10"/>
        <v>-3027</v>
      </c>
      <c r="K36" s="3">
        <f t="shared" si="10"/>
        <v>-3101</v>
      </c>
      <c r="L36" s="3">
        <f t="shared" si="10"/>
        <v>-3185</v>
      </c>
      <c r="M36" s="3">
        <f t="shared" si="10"/>
        <v>-3224</v>
      </c>
      <c r="N36" s="57">
        <v>0</v>
      </c>
      <c r="O36" s="94">
        <f t="shared" si="2"/>
        <v>-31080</v>
      </c>
      <c r="Q36" t="s">
        <v>0</v>
      </c>
      <c r="R36" s="3">
        <f t="shared" si="9"/>
        <v>-31080</v>
      </c>
    </row>
    <row r="37" spans="1:18" x14ac:dyDescent="0.25">
      <c r="A37" t="s">
        <v>92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57">
        <f>SUM(N34:N36)*-1</f>
        <v>-3401</v>
      </c>
      <c r="O37" s="94"/>
      <c r="Q37" t="s">
        <v>111</v>
      </c>
      <c r="R37" s="3">
        <f t="shared" si="9"/>
        <v>-3401</v>
      </c>
    </row>
    <row r="38" spans="1:18" x14ac:dyDescent="0.25"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57"/>
      <c r="O38" s="94"/>
      <c r="R38" s="3"/>
    </row>
    <row r="39" spans="1:18" x14ac:dyDescent="0.25">
      <c r="A39" t="s">
        <v>65</v>
      </c>
      <c r="C39" s="3">
        <v>12689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94"/>
      <c r="Q39" t="s">
        <v>112</v>
      </c>
      <c r="R39" s="3">
        <f t="shared" si="9"/>
        <v>12689</v>
      </c>
    </row>
    <row r="40" spans="1:18" x14ac:dyDescent="0.25">
      <c r="A40" t="s">
        <v>66</v>
      </c>
      <c r="C40" s="3">
        <v>2664.69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P40" s="94">
        <f>SUM(B40:N40)</f>
        <v>2664.69</v>
      </c>
      <c r="Q40" t="s">
        <v>75</v>
      </c>
      <c r="R40" s="3">
        <f t="shared" si="9"/>
        <v>2664.69</v>
      </c>
    </row>
    <row r="41" spans="1:18" x14ac:dyDescent="0.25">
      <c r="A41" t="s">
        <v>0</v>
      </c>
      <c r="C41" s="3">
        <f>SUM(C39:C40)*-1</f>
        <v>-15353.69</v>
      </c>
      <c r="D41" s="3">
        <f t="shared" ref="D41:N41" si="11">SUM(D39:D40)*-1</f>
        <v>0</v>
      </c>
      <c r="E41" s="3">
        <f t="shared" si="11"/>
        <v>0</v>
      </c>
      <c r="F41" s="3">
        <f t="shared" si="11"/>
        <v>0</v>
      </c>
      <c r="G41" s="3">
        <f t="shared" si="11"/>
        <v>0</v>
      </c>
      <c r="H41" s="3">
        <f t="shared" si="11"/>
        <v>0</v>
      </c>
      <c r="I41" s="3">
        <f t="shared" si="11"/>
        <v>0</v>
      </c>
      <c r="J41" s="3">
        <f t="shared" si="11"/>
        <v>0</v>
      </c>
      <c r="K41" s="3">
        <f t="shared" si="11"/>
        <v>0</v>
      </c>
      <c r="L41" s="3">
        <f t="shared" si="11"/>
        <v>0</v>
      </c>
      <c r="M41" s="3">
        <f t="shared" si="11"/>
        <v>0</v>
      </c>
      <c r="N41" s="3">
        <f t="shared" si="11"/>
        <v>0</v>
      </c>
      <c r="O41" s="94">
        <f t="shared" si="2"/>
        <v>-15353.69</v>
      </c>
      <c r="Q41" t="s">
        <v>0</v>
      </c>
      <c r="R41" s="3">
        <f t="shared" si="9"/>
        <v>-15353.69</v>
      </c>
    </row>
    <row r="42" spans="1:18" x14ac:dyDescent="0.25"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4"/>
    </row>
    <row r="43" spans="1:18" x14ac:dyDescent="0.25">
      <c r="A43" t="s">
        <v>42</v>
      </c>
      <c r="C43" s="3">
        <v>3267</v>
      </c>
      <c r="D43" s="3">
        <v>2013</v>
      </c>
      <c r="E43" s="3">
        <v>1867</v>
      </c>
      <c r="F43" s="3">
        <v>1570</v>
      </c>
      <c r="G43" s="3">
        <v>1326</v>
      </c>
      <c r="H43" s="3">
        <v>1426</v>
      </c>
      <c r="I43" s="3">
        <v>1244</v>
      </c>
      <c r="J43" s="3">
        <v>1305</v>
      </c>
      <c r="K43" s="3">
        <v>1156</v>
      </c>
      <c r="L43" s="3">
        <v>1377</v>
      </c>
      <c r="M43" s="3">
        <v>1267</v>
      </c>
      <c r="N43" s="3">
        <v>1687</v>
      </c>
      <c r="O43" s="94"/>
      <c r="P43" s="3"/>
      <c r="Q43" t="s">
        <v>113</v>
      </c>
      <c r="R43" s="3">
        <f t="shared" si="9"/>
        <v>19505</v>
      </c>
    </row>
    <row r="44" spans="1:18" x14ac:dyDescent="0.25">
      <c r="A44" t="s">
        <v>43</v>
      </c>
      <c r="C44" s="3">
        <v>686.06999999999994</v>
      </c>
      <c r="D44" s="3">
        <v>422.72999999999996</v>
      </c>
      <c r="E44" s="3">
        <v>392.07</v>
      </c>
      <c r="F44" s="3">
        <v>329.7</v>
      </c>
      <c r="G44" s="3">
        <v>278.45999999999998</v>
      </c>
      <c r="H44" s="3">
        <v>299.45999999999998</v>
      </c>
      <c r="I44" s="3">
        <v>261.24</v>
      </c>
      <c r="J44" s="3">
        <v>274.05</v>
      </c>
      <c r="K44" s="3">
        <v>242.76</v>
      </c>
      <c r="L44" s="3">
        <v>289.17</v>
      </c>
      <c r="M44" s="3">
        <v>266.07</v>
      </c>
      <c r="N44" s="3">
        <v>354.27</v>
      </c>
      <c r="P44" s="94">
        <f>SUM(B44:N44)</f>
        <v>4096.05</v>
      </c>
      <c r="Q44" t="s">
        <v>75</v>
      </c>
      <c r="R44" s="3">
        <f t="shared" si="9"/>
        <v>4096.05</v>
      </c>
    </row>
    <row r="45" spans="1:18" x14ac:dyDescent="0.25">
      <c r="A45" t="s">
        <v>0</v>
      </c>
      <c r="C45" s="3">
        <f>SUM(C43:C44)*-1</f>
        <v>-3953.0699999999997</v>
      </c>
      <c r="D45" s="3">
        <f t="shared" ref="D45:N45" si="12">SUM(D43:D44)*-1</f>
        <v>-2435.73</v>
      </c>
      <c r="E45" s="3">
        <f t="shared" si="12"/>
        <v>-2259.0700000000002</v>
      </c>
      <c r="F45" s="3">
        <f t="shared" si="12"/>
        <v>-1899.7</v>
      </c>
      <c r="G45" s="3">
        <f t="shared" si="12"/>
        <v>-1604.46</v>
      </c>
      <c r="H45" s="3">
        <f t="shared" si="12"/>
        <v>-1725.46</v>
      </c>
      <c r="I45" s="3">
        <f t="shared" si="12"/>
        <v>-1505.24</v>
      </c>
      <c r="J45" s="3">
        <f t="shared" si="12"/>
        <v>-1579.05</v>
      </c>
      <c r="K45" s="3">
        <f t="shared" si="12"/>
        <v>-1398.76</v>
      </c>
      <c r="L45" s="3">
        <f t="shared" si="12"/>
        <v>-1666.17</v>
      </c>
      <c r="M45" s="3">
        <f t="shared" si="12"/>
        <v>-1533.07</v>
      </c>
      <c r="N45" s="3">
        <f t="shared" si="12"/>
        <v>-2041.27</v>
      </c>
      <c r="O45" s="94">
        <f t="shared" si="2"/>
        <v>-23601.05</v>
      </c>
      <c r="Q45" t="s">
        <v>0</v>
      </c>
      <c r="R45" s="3">
        <f t="shared" si="9"/>
        <v>-23601.05</v>
      </c>
    </row>
    <row r="46" spans="1:18" x14ac:dyDescent="0.25"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94"/>
    </row>
    <row r="47" spans="1:18" x14ac:dyDescent="0.25">
      <c r="A47" t="s">
        <v>33</v>
      </c>
      <c r="C47" s="3">
        <v>370.73333333333335</v>
      </c>
      <c r="D47" s="3">
        <v>370.73333333333335</v>
      </c>
      <c r="E47" s="3">
        <v>370.73333333333335</v>
      </c>
      <c r="F47" s="3">
        <v>370.73333333333335</v>
      </c>
      <c r="G47" s="3">
        <v>370.73333333333335</v>
      </c>
      <c r="H47" s="3">
        <v>370.73333333333335</v>
      </c>
      <c r="I47" s="3">
        <v>370.73333333333335</v>
      </c>
      <c r="J47" s="3">
        <v>370.73333333333335</v>
      </c>
      <c r="K47" s="3">
        <v>370.73333333333335</v>
      </c>
      <c r="L47" s="3">
        <v>370.73333333333335</v>
      </c>
      <c r="M47" s="3">
        <v>370.73333333333335</v>
      </c>
      <c r="N47" s="3">
        <v>370.73333333333335</v>
      </c>
      <c r="O47" s="94"/>
      <c r="Q47" t="s">
        <v>114</v>
      </c>
      <c r="R47" s="3">
        <f t="shared" si="9"/>
        <v>4448.8000000000011</v>
      </c>
    </row>
    <row r="48" spans="1:18" x14ac:dyDescent="0.25">
      <c r="A48" t="s">
        <v>83</v>
      </c>
      <c r="C48" s="3">
        <f>-C47</f>
        <v>-370.73333333333335</v>
      </c>
      <c r="D48" s="3">
        <f t="shared" ref="D48:N48" si="13">-D47</f>
        <v>-370.73333333333335</v>
      </c>
      <c r="E48" s="3">
        <f t="shared" si="13"/>
        <v>-370.73333333333335</v>
      </c>
      <c r="F48" s="3">
        <f t="shared" si="13"/>
        <v>-370.73333333333335</v>
      </c>
      <c r="G48" s="3">
        <f t="shared" si="13"/>
        <v>-370.73333333333335</v>
      </c>
      <c r="H48" s="3">
        <f t="shared" si="13"/>
        <v>-370.73333333333335</v>
      </c>
      <c r="I48" s="3">
        <f t="shared" si="13"/>
        <v>-370.73333333333335</v>
      </c>
      <c r="J48" s="3">
        <f t="shared" si="13"/>
        <v>-370.73333333333335</v>
      </c>
      <c r="K48" s="3">
        <f t="shared" si="13"/>
        <v>-370.73333333333335</v>
      </c>
      <c r="L48" s="3">
        <f t="shared" si="13"/>
        <v>-370.73333333333335</v>
      </c>
      <c r="M48" s="3">
        <f t="shared" si="13"/>
        <v>-370.73333333333335</v>
      </c>
      <c r="N48" s="3">
        <f t="shared" si="13"/>
        <v>-370.73333333333335</v>
      </c>
      <c r="O48" s="94"/>
      <c r="Q48" t="s">
        <v>98</v>
      </c>
      <c r="R48" s="3">
        <f t="shared" si="9"/>
        <v>-4448.8000000000011</v>
      </c>
    </row>
    <row r="49" spans="1:18" x14ac:dyDescent="0.25"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94"/>
    </row>
    <row r="50" spans="1:18" x14ac:dyDescent="0.25">
      <c r="A50" t="s">
        <v>34</v>
      </c>
      <c r="C50" s="3">
        <v>819.625</v>
      </c>
      <c r="D50" s="3">
        <v>819.625</v>
      </c>
      <c r="E50" s="3">
        <v>819.625</v>
      </c>
      <c r="F50" s="3">
        <v>819.625</v>
      </c>
      <c r="G50" s="3">
        <v>819.625</v>
      </c>
      <c r="H50" s="3">
        <v>819.625</v>
      </c>
      <c r="I50" s="3">
        <v>819.625</v>
      </c>
      <c r="J50" s="3">
        <v>819.625</v>
      </c>
      <c r="K50" s="3">
        <v>819.625</v>
      </c>
      <c r="L50" s="3">
        <v>819.625</v>
      </c>
      <c r="M50" s="3">
        <v>819.625</v>
      </c>
      <c r="N50" s="3">
        <v>819.625</v>
      </c>
      <c r="O50" s="94"/>
      <c r="Q50" t="s">
        <v>115</v>
      </c>
      <c r="R50" s="3">
        <f t="shared" si="9"/>
        <v>9835.5</v>
      </c>
    </row>
    <row r="51" spans="1:18" x14ac:dyDescent="0.25">
      <c r="A51" t="s">
        <v>84</v>
      </c>
      <c r="C51" s="3">
        <f>-C50</f>
        <v>-819.625</v>
      </c>
      <c r="D51" s="3">
        <f t="shared" ref="D51:N51" si="14">-D50</f>
        <v>-819.625</v>
      </c>
      <c r="E51" s="3">
        <f t="shared" si="14"/>
        <v>-819.625</v>
      </c>
      <c r="F51" s="3">
        <f t="shared" si="14"/>
        <v>-819.625</v>
      </c>
      <c r="G51" s="3">
        <f t="shared" si="14"/>
        <v>-819.625</v>
      </c>
      <c r="H51" s="3">
        <f t="shared" si="14"/>
        <v>-819.625</v>
      </c>
      <c r="I51" s="3">
        <f t="shared" si="14"/>
        <v>-819.625</v>
      </c>
      <c r="J51" s="3">
        <f t="shared" si="14"/>
        <v>-819.625</v>
      </c>
      <c r="K51" s="3">
        <f t="shared" si="14"/>
        <v>-819.625</v>
      </c>
      <c r="L51" s="3">
        <f t="shared" si="14"/>
        <v>-819.625</v>
      </c>
      <c r="M51" s="3">
        <f t="shared" si="14"/>
        <v>-819.625</v>
      </c>
      <c r="N51" s="3">
        <f t="shared" si="14"/>
        <v>-819.625</v>
      </c>
      <c r="O51" s="94"/>
      <c r="Q51" t="s">
        <v>99</v>
      </c>
      <c r="R51" s="3">
        <f t="shared" si="9"/>
        <v>-9835.5</v>
      </c>
    </row>
    <row r="52" spans="1:18" x14ac:dyDescent="0.25"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94"/>
    </row>
    <row r="53" spans="1:18" x14ac:dyDescent="0.25">
      <c r="A53" t="s">
        <v>35</v>
      </c>
      <c r="C53" s="3">
        <v>745.88333333333333</v>
      </c>
      <c r="D53" s="3">
        <v>745.88333333333333</v>
      </c>
      <c r="E53" s="3">
        <v>745.88333333333333</v>
      </c>
      <c r="F53" s="3">
        <v>745.88333333333333</v>
      </c>
      <c r="G53" s="3">
        <v>745.88333333333333</v>
      </c>
      <c r="H53" s="3">
        <v>745.88333333333333</v>
      </c>
      <c r="I53" s="3">
        <v>745.88333333333333</v>
      </c>
      <c r="J53" s="3">
        <v>745.88333333333333</v>
      </c>
      <c r="K53" s="3">
        <v>745.88333333333333</v>
      </c>
      <c r="L53" s="3">
        <v>745.88333333333333</v>
      </c>
      <c r="M53" s="3">
        <v>745.88333333333333</v>
      </c>
      <c r="N53" s="3">
        <v>745.88333333333333</v>
      </c>
      <c r="O53" s="94"/>
      <c r="Q53" t="s">
        <v>116</v>
      </c>
      <c r="R53" s="3">
        <f t="shared" si="9"/>
        <v>8950.6</v>
      </c>
    </row>
    <row r="54" spans="1:18" x14ac:dyDescent="0.25">
      <c r="A54" t="s">
        <v>88</v>
      </c>
      <c r="C54" s="3">
        <f>-C53</f>
        <v>-745.88333333333333</v>
      </c>
      <c r="D54" s="3">
        <f t="shared" ref="D54:N54" si="15">-D53</f>
        <v>-745.88333333333333</v>
      </c>
      <c r="E54" s="3">
        <f t="shared" si="15"/>
        <v>-745.88333333333333</v>
      </c>
      <c r="F54" s="3">
        <f t="shared" si="15"/>
        <v>-745.88333333333333</v>
      </c>
      <c r="G54" s="3">
        <f t="shared" si="15"/>
        <v>-745.88333333333333</v>
      </c>
      <c r="H54" s="3">
        <f t="shared" si="15"/>
        <v>-745.88333333333333</v>
      </c>
      <c r="I54" s="3">
        <f t="shared" si="15"/>
        <v>-745.88333333333333</v>
      </c>
      <c r="J54" s="3">
        <f t="shared" si="15"/>
        <v>-745.88333333333333</v>
      </c>
      <c r="K54" s="3">
        <f t="shared" si="15"/>
        <v>-745.88333333333333</v>
      </c>
      <c r="L54" s="3">
        <f t="shared" si="15"/>
        <v>-745.88333333333333</v>
      </c>
      <c r="M54" s="3">
        <f t="shared" si="15"/>
        <v>-745.88333333333333</v>
      </c>
      <c r="N54" s="3">
        <f t="shared" si="15"/>
        <v>-745.88333333333333</v>
      </c>
      <c r="O54" s="94"/>
      <c r="Q54" t="s">
        <v>100</v>
      </c>
      <c r="R54" s="3">
        <f t="shared" si="9"/>
        <v>-8950.6</v>
      </c>
    </row>
    <row r="55" spans="1:18" x14ac:dyDescent="0.25"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94"/>
      <c r="R55" s="3"/>
    </row>
    <row r="56" spans="1:18" x14ac:dyDescent="0.25">
      <c r="A56" t="s">
        <v>44</v>
      </c>
      <c r="C56" s="3">
        <v>1650</v>
      </c>
      <c r="D56" s="3">
        <v>1253</v>
      </c>
      <c r="E56" s="3">
        <v>1543</v>
      </c>
      <c r="F56" s="3">
        <v>1983</v>
      </c>
      <c r="G56" s="3">
        <v>1056</v>
      </c>
      <c r="H56" s="3">
        <v>3356</v>
      </c>
      <c r="I56" s="3">
        <v>1376</v>
      </c>
      <c r="J56" s="3">
        <v>2211</v>
      </c>
      <c r="K56" s="3">
        <v>2137</v>
      </c>
      <c r="L56" s="3">
        <v>2240</v>
      </c>
      <c r="M56" s="3">
        <v>2456</v>
      </c>
      <c r="N56" s="3">
        <v>2301</v>
      </c>
      <c r="O56" s="94"/>
      <c r="Q56" t="s">
        <v>117</v>
      </c>
      <c r="R56" s="3">
        <f t="shared" si="9"/>
        <v>23562</v>
      </c>
    </row>
    <row r="57" spans="1:18" x14ac:dyDescent="0.25">
      <c r="A57" t="s">
        <v>75</v>
      </c>
      <c r="C57" s="3">
        <v>346.5</v>
      </c>
      <c r="D57" s="3">
        <v>263.13</v>
      </c>
      <c r="E57" s="3">
        <v>324.02999999999997</v>
      </c>
      <c r="F57" s="3">
        <v>416.43</v>
      </c>
      <c r="G57" s="3">
        <v>221.76</v>
      </c>
      <c r="H57" s="3">
        <v>704.76</v>
      </c>
      <c r="I57" s="3">
        <v>288.95999999999998</v>
      </c>
      <c r="J57" s="3">
        <v>464.31</v>
      </c>
      <c r="K57" s="3">
        <v>448.77</v>
      </c>
      <c r="L57" s="3">
        <v>470.4</v>
      </c>
      <c r="M57" s="3">
        <v>515.76</v>
      </c>
      <c r="N57" s="3">
        <v>483.21</v>
      </c>
      <c r="P57" s="94">
        <f>SUM(B57:N57)</f>
        <v>4948.0199999999995</v>
      </c>
      <c r="Q57" t="s">
        <v>75</v>
      </c>
      <c r="R57" s="3">
        <f t="shared" si="9"/>
        <v>4948.0199999999995</v>
      </c>
    </row>
    <row r="58" spans="1:18" x14ac:dyDescent="0.25">
      <c r="A58" t="s">
        <v>0</v>
      </c>
      <c r="C58" s="3">
        <f>SUM(C56:C57)*-1</f>
        <v>-1996.5</v>
      </c>
      <c r="D58" s="3">
        <f t="shared" ref="D58:N58" si="16">SUM(D56:D57)*-1</f>
        <v>-1516.13</v>
      </c>
      <c r="E58" s="3">
        <f t="shared" si="16"/>
        <v>-1867.03</v>
      </c>
      <c r="F58" s="3">
        <f t="shared" si="16"/>
        <v>-2399.4299999999998</v>
      </c>
      <c r="G58" s="3">
        <f t="shared" si="16"/>
        <v>-1277.76</v>
      </c>
      <c r="H58" s="3">
        <f t="shared" si="16"/>
        <v>-4060.76</v>
      </c>
      <c r="I58" s="3">
        <f t="shared" si="16"/>
        <v>-1664.96</v>
      </c>
      <c r="J58" s="3">
        <f t="shared" si="16"/>
        <v>-2675.31</v>
      </c>
      <c r="K58" s="3">
        <f t="shared" si="16"/>
        <v>-2585.77</v>
      </c>
      <c r="L58" s="3">
        <f t="shared" si="16"/>
        <v>-2710.4</v>
      </c>
      <c r="M58" s="3">
        <f t="shared" si="16"/>
        <v>-2971.76</v>
      </c>
      <c r="N58" s="3">
        <f t="shared" si="16"/>
        <v>-2784.21</v>
      </c>
      <c r="O58" s="94">
        <f t="shared" si="2"/>
        <v>-28510.020000000004</v>
      </c>
      <c r="Q58" t="s">
        <v>0</v>
      </c>
      <c r="R58" s="3">
        <f t="shared" si="9"/>
        <v>-28510.020000000004</v>
      </c>
    </row>
    <row r="59" spans="1:18" x14ac:dyDescent="0.25"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94"/>
      <c r="R59" s="3"/>
    </row>
    <row r="60" spans="1:18" x14ac:dyDescent="0.25">
      <c r="A60" t="s">
        <v>46</v>
      </c>
      <c r="C60" s="3">
        <v>2000</v>
      </c>
      <c r="D60" s="3">
        <v>2000</v>
      </c>
      <c r="E60" s="3">
        <v>2000</v>
      </c>
      <c r="F60" s="3">
        <v>2000</v>
      </c>
      <c r="G60" s="3">
        <v>2000</v>
      </c>
      <c r="H60" s="3">
        <v>2000</v>
      </c>
      <c r="I60" s="3">
        <v>2000</v>
      </c>
      <c r="J60" s="3">
        <v>2000</v>
      </c>
      <c r="K60" s="3">
        <v>2000</v>
      </c>
      <c r="L60" s="3">
        <v>2000</v>
      </c>
      <c r="M60" s="3">
        <v>2500</v>
      </c>
      <c r="N60" s="3">
        <v>2500</v>
      </c>
      <c r="O60" s="94"/>
      <c r="Q60" t="s">
        <v>118</v>
      </c>
      <c r="R60" s="3">
        <f t="shared" si="9"/>
        <v>25000</v>
      </c>
    </row>
    <row r="61" spans="1:18" x14ac:dyDescent="0.25">
      <c r="A61" t="s">
        <v>75</v>
      </c>
      <c r="C61" s="3">
        <v>420</v>
      </c>
      <c r="D61" s="3">
        <v>420</v>
      </c>
      <c r="E61" s="3">
        <v>420</v>
      </c>
      <c r="F61" s="3">
        <v>420</v>
      </c>
      <c r="G61" s="3">
        <v>420</v>
      </c>
      <c r="H61" s="3">
        <v>420</v>
      </c>
      <c r="I61" s="3">
        <v>420</v>
      </c>
      <c r="J61" s="3">
        <v>420</v>
      </c>
      <c r="K61" s="3">
        <v>420</v>
      </c>
      <c r="L61" s="3">
        <v>420</v>
      </c>
      <c r="M61" s="3">
        <v>525</v>
      </c>
      <c r="N61" s="3">
        <v>525</v>
      </c>
      <c r="P61" s="94">
        <f>SUM(B61:N61)</f>
        <v>5250</v>
      </c>
      <c r="Q61" t="s">
        <v>75</v>
      </c>
      <c r="R61" s="3">
        <f t="shared" si="9"/>
        <v>5250</v>
      </c>
    </row>
    <row r="62" spans="1:18" x14ac:dyDescent="0.25">
      <c r="A62" t="s">
        <v>0</v>
      </c>
      <c r="C62" s="3">
        <f>SUM(C60:C61)*-1</f>
        <v>-2420</v>
      </c>
      <c r="D62" s="3">
        <f t="shared" ref="D62:M62" si="17">SUM(D60:D61)*-1</f>
        <v>-2420</v>
      </c>
      <c r="E62" s="3">
        <f t="shared" si="17"/>
        <v>-2420</v>
      </c>
      <c r="F62" s="3">
        <f t="shared" si="17"/>
        <v>-2420</v>
      </c>
      <c r="G62" s="3">
        <f t="shared" si="17"/>
        <v>-2420</v>
      </c>
      <c r="H62" s="3">
        <f t="shared" si="17"/>
        <v>-2420</v>
      </c>
      <c r="I62" s="3">
        <f t="shared" si="17"/>
        <v>-2420</v>
      </c>
      <c r="J62" s="3">
        <f t="shared" si="17"/>
        <v>-2420</v>
      </c>
      <c r="K62" s="3">
        <f t="shared" si="17"/>
        <v>-2420</v>
      </c>
      <c r="L62" s="3">
        <f t="shared" si="17"/>
        <v>-2420</v>
      </c>
      <c r="M62" s="3">
        <f t="shared" si="17"/>
        <v>-3025</v>
      </c>
      <c r="N62" s="57">
        <v>0</v>
      </c>
      <c r="O62" s="94">
        <f t="shared" si="2"/>
        <v>-27225</v>
      </c>
      <c r="Q62" t="s">
        <v>0</v>
      </c>
      <c r="R62" s="3">
        <f t="shared" si="9"/>
        <v>-27225</v>
      </c>
    </row>
    <row r="63" spans="1:18" x14ac:dyDescent="0.25">
      <c r="A63" t="s">
        <v>93</v>
      </c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57">
        <f>SUM(N60:N62)*-1</f>
        <v>-3025</v>
      </c>
      <c r="O63" s="94"/>
      <c r="Q63" t="s">
        <v>119</v>
      </c>
      <c r="R63" s="3">
        <f t="shared" si="9"/>
        <v>-3025</v>
      </c>
    </row>
    <row r="64" spans="1:18" x14ac:dyDescent="0.25"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94"/>
      <c r="R64" s="3"/>
    </row>
    <row r="65" spans="1:18" x14ac:dyDescent="0.25">
      <c r="A65" t="s">
        <v>70</v>
      </c>
      <c r="C65" s="3">
        <v>4278.42</v>
      </c>
      <c r="D65" s="3">
        <v>3785.94</v>
      </c>
      <c r="E65" s="3">
        <v>3437.91</v>
      </c>
      <c r="F65" s="3">
        <v>4433.9399999999996</v>
      </c>
      <c r="G65" s="3">
        <v>4050</v>
      </c>
      <c r="H65" s="3">
        <v>4966.92</v>
      </c>
      <c r="I65" s="3">
        <v>5712.12</v>
      </c>
      <c r="J65" s="3">
        <v>5788.8</v>
      </c>
      <c r="K65" s="3">
        <v>5924.34</v>
      </c>
      <c r="L65" s="3">
        <v>6073.38</v>
      </c>
      <c r="M65" s="3">
        <v>6433.83</v>
      </c>
      <c r="N65" s="3">
        <v>7410.96</v>
      </c>
      <c r="O65" s="94"/>
      <c r="Q65" t="s">
        <v>120</v>
      </c>
      <c r="R65" s="3">
        <f t="shared" si="9"/>
        <v>62296.56</v>
      </c>
    </row>
    <row r="66" spans="1:18" x14ac:dyDescent="0.25">
      <c r="A66" t="s">
        <v>69</v>
      </c>
      <c r="C66" s="3">
        <v>356</v>
      </c>
      <c r="D66" s="3">
        <v>389</v>
      </c>
      <c r="E66" s="3">
        <v>432</v>
      </c>
      <c r="F66" s="3">
        <v>456</v>
      </c>
      <c r="G66" s="3">
        <v>459</v>
      </c>
      <c r="H66" s="3">
        <v>472</v>
      </c>
      <c r="I66" s="3">
        <v>475</v>
      </c>
      <c r="J66" s="3">
        <v>478</v>
      </c>
      <c r="K66" s="3">
        <v>483</v>
      </c>
      <c r="L66" s="3">
        <v>486</v>
      </c>
      <c r="M66" s="3">
        <v>486</v>
      </c>
      <c r="N66" s="3">
        <v>498</v>
      </c>
      <c r="O66" s="94"/>
      <c r="Q66" t="s">
        <v>121</v>
      </c>
      <c r="R66" s="3">
        <f t="shared" si="9"/>
        <v>5470</v>
      </c>
    </row>
    <row r="67" spans="1:18" x14ac:dyDescent="0.25">
      <c r="A67" t="s">
        <v>0</v>
      </c>
      <c r="C67" s="3">
        <f>SUM(C65:C66)*-1</f>
        <v>-4634.42</v>
      </c>
      <c r="D67" s="3">
        <f t="shared" ref="D67:M67" si="18">SUM(D65:D66)*-1</f>
        <v>-4174.9400000000005</v>
      </c>
      <c r="E67" s="3">
        <f t="shared" si="18"/>
        <v>-3869.91</v>
      </c>
      <c r="F67" s="3">
        <f t="shared" si="18"/>
        <v>-4889.9399999999996</v>
      </c>
      <c r="G67" s="3">
        <f t="shared" si="18"/>
        <v>-4509</v>
      </c>
      <c r="H67" s="3">
        <f t="shared" si="18"/>
        <v>-5438.92</v>
      </c>
      <c r="I67" s="3">
        <f t="shared" si="18"/>
        <v>-6187.12</v>
      </c>
      <c r="J67" s="3">
        <f t="shared" si="18"/>
        <v>-6266.8</v>
      </c>
      <c r="K67" s="3">
        <f t="shared" si="18"/>
        <v>-6407.34</v>
      </c>
      <c r="L67" s="3">
        <f t="shared" si="18"/>
        <v>-6559.38</v>
      </c>
      <c r="M67" s="3">
        <f t="shared" si="18"/>
        <v>-6919.83</v>
      </c>
      <c r="N67" s="57"/>
      <c r="O67" s="94">
        <f t="shared" ref="O67:O89" si="19">SUM(B67:N67)</f>
        <v>-59857.599999999999</v>
      </c>
      <c r="Q67" t="s">
        <v>0</v>
      </c>
      <c r="R67" s="3">
        <f t="shared" si="9"/>
        <v>-59857.599999999999</v>
      </c>
    </row>
    <row r="68" spans="1:18" x14ac:dyDescent="0.25">
      <c r="A68" t="s">
        <v>94</v>
      </c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57">
        <f>SUM(N65:N67)*-1</f>
        <v>-7908.96</v>
      </c>
      <c r="O68" s="94"/>
      <c r="Q68" t="s">
        <v>122</v>
      </c>
      <c r="R68" s="3">
        <f t="shared" si="9"/>
        <v>-7908.96</v>
      </c>
    </row>
    <row r="69" spans="1:18" x14ac:dyDescent="0.25">
      <c r="A69" t="s">
        <v>95</v>
      </c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59"/>
      <c r="O69" s="94"/>
      <c r="R69" s="3"/>
    </row>
    <row r="70" spans="1:18" x14ac:dyDescent="0.25"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94"/>
      <c r="R70" s="3"/>
    </row>
    <row r="71" spans="1:18" x14ac:dyDescent="0.25">
      <c r="A71" t="s">
        <v>48</v>
      </c>
      <c r="C71" s="3">
        <v>1850</v>
      </c>
      <c r="D71" s="3">
        <v>2350</v>
      </c>
      <c r="E71" s="3">
        <v>2001</v>
      </c>
      <c r="F71" s="3">
        <v>1953</v>
      </c>
      <c r="G71" s="3">
        <v>2167</v>
      </c>
      <c r="H71" s="3">
        <v>2350</v>
      </c>
      <c r="I71" s="3">
        <v>1860</v>
      </c>
      <c r="J71" s="3">
        <v>2435</v>
      </c>
      <c r="K71" s="3">
        <v>2567</v>
      </c>
      <c r="L71" s="3">
        <v>2633</v>
      </c>
      <c r="M71" s="3">
        <v>2756</v>
      </c>
      <c r="N71" s="3">
        <v>2890</v>
      </c>
      <c r="O71" s="94"/>
      <c r="Q71" t="s">
        <v>123</v>
      </c>
      <c r="R71" s="3">
        <f t="shared" si="9"/>
        <v>27812</v>
      </c>
    </row>
    <row r="72" spans="1:18" x14ac:dyDescent="0.25">
      <c r="A72" t="s">
        <v>75</v>
      </c>
      <c r="C72" s="3">
        <v>388.5</v>
      </c>
      <c r="D72" s="3">
        <v>493.5</v>
      </c>
      <c r="E72" s="3">
        <v>420.21</v>
      </c>
      <c r="F72" s="3">
        <v>410.13</v>
      </c>
      <c r="G72" s="3">
        <v>455.07</v>
      </c>
      <c r="H72" s="3">
        <v>493.5</v>
      </c>
      <c r="I72" s="3">
        <v>390.59999999999997</v>
      </c>
      <c r="J72" s="3">
        <v>511.34999999999997</v>
      </c>
      <c r="K72" s="3">
        <v>539.06999999999994</v>
      </c>
      <c r="L72" s="3">
        <v>552.92999999999995</v>
      </c>
      <c r="M72" s="3">
        <v>578.76</v>
      </c>
      <c r="N72" s="3">
        <v>606.9</v>
      </c>
      <c r="P72" s="94">
        <f>SUM(B72:N72)</f>
        <v>5840.52</v>
      </c>
      <c r="Q72" t="s">
        <v>75</v>
      </c>
      <c r="R72" s="3">
        <f t="shared" si="9"/>
        <v>5840.52</v>
      </c>
    </row>
    <row r="73" spans="1:18" x14ac:dyDescent="0.25">
      <c r="A73" t="s">
        <v>0</v>
      </c>
      <c r="C73" s="3">
        <f>SUM(C71:C72)*-1</f>
        <v>-2238.5</v>
      </c>
      <c r="D73" s="3">
        <f t="shared" ref="D73:N73" si="20">SUM(D71:D72)*-1</f>
        <v>-2843.5</v>
      </c>
      <c r="E73" s="3">
        <f t="shared" si="20"/>
        <v>-2421.21</v>
      </c>
      <c r="F73" s="3">
        <f t="shared" si="20"/>
        <v>-2363.13</v>
      </c>
      <c r="G73" s="3">
        <f t="shared" si="20"/>
        <v>-2622.07</v>
      </c>
      <c r="H73" s="3">
        <f t="shared" si="20"/>
        <v>-2843.5</v>
      </c>
      <c r="I73" s="3">
        <f t="shared" si="20"/>
        <v>-2250.6</v>
      </c>
      <c r="J73" s="3">
        <f t="shared" si="20"/>
        <v>-2946.35</v>
      </c>
      <c r="K73" s="3">
        <f t="shared" si="20"/>
        <v>-3106.0699999999997</v>
      </c>
      <c r="L73" s="3">
        <f t="shared" si="20"/>
        <v>-3185.93</v>
      </c>
      <c r="M73" s="3">
        <f t="shared" si="20"/>
        <v>-3334.76</v>
      </c>
      <c r="N73" s="3">
        <f t="shared" si="20"/>
        <v>-3496.9</v>
      </c>
      <c r="O73" s="94">
        <f t="shared" si="19"/>
        <v>-33652.519999999997</v>
      </c>
      <c r="Q73" t="s">
        <v>0</v>
      </c>
      <c r="R73" s="3">
        <f t="shared" si="9"/>
        <v>-33652.519999999997</v>
      </c>
    </row>
    <row r="74" spans="1:18" x14ac:dyDescent="0.25"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94"/>
      <c r="R74" s="3"/>
    </row>
    <row r="75" spans="1:18" x14ac:dyDescent="0.25">
      <c r="A75" t="s">
        <v>71</v>
      </c>
      <c r="C75" s="3">
        <v>1500</v>
      </c>
      <c r="D75" s="3">
        <v>1500</v>
      </c>
      <c r="E75" s="3">
        <v>1500</v>
      </c>
      <c r="F75" s="3">
        <v>1500</v>
      </c>
      <c r="G75" s="3">
        <v>1500</v>
      </c>
      <c r="H75" s="3">
        <v>1500</v>
      </c>
      <c r="I75" s="3">
        <v>1700</v>
      </c>
      <c r="J75" s="3">
        <v>1700</v>
      </c>
      <c r="K75" s="3">
        <v>1700</v>
      </c>
      <c r="L75" s="3">
        <v>1700</v>
      </c>
      <c r="M75" s="3">
        <v>1700</v>
      </c>
      <c r="N75" s="3">
        <v>1700</v>
      </c>
      <c r="O75" s="94"/>
      <c r="Q75" t="s">
        <v>124</v>
      </c>
      <c r="R75" s="3">
        <f t="shared" si="9"/>
        <v>19200</v>
      </c>
    </row>
    <row r="76" spans="1:18" x14ac:dyDescent="0.25">
      <c r="A76" t="s">
        <v>75</v>
      </c>
      <c r="C76" s="3">
        <v>315</v>
      </c>
      <c r="D76" s="3">
        <v>315</v>
      </c>
      <c r="E76" s="3">
        <v>315</v>
      </c>
      <c r="F76" s="3">
        <v>315</v>
      </c>
      <c r="G76" s="3">
        <v>315</v>
      </c>
      <c r="H76" s="3">
        <v>315</v>
      </c>
      <c r="I76" s="3">
        <v>357</v>
      </c>
      <c r="J76" s="3">
        <v>357</v>
      </c>
      <c r="K76" s="3">
        <v>357</v>
      </c>
      <c r="L76" s="3">
        <v>357</v>
      </c>
      <c r="M76" s="3">
        <v>357</v>
      </c>
      <c r="N76" s="3">
        <v>357</v>
      </c>
      <c r="P76" s="94">
        <f>SUM(B76:N76)</f>
        <v>4032</v>
      </c>
      <c r="Q76" t="s">
        <v>75</v>
      </c>
      <c r="R76" s="3">
        <f t="shared" si="9"/>
        <v>4032</v>
      </c>
    </row>
    <row r="77" spans="1:18" x14ac:dyDescent="0.25">
      <c r="A77" t="s">
        <v>0</v>
      </c>
      <c r="C77" s="3">
        <f>SUM(C75:C76)*-1</f>
        <v>-1815</v>
      </c>
      <c r="D77" s="3">
        <f t="shared" ref="D77:N77" si="21">SUM(D75:D76)*-1</f>
        <v>-1815</v>
      </c>
      <c r="E77" s="3">
        <f t="shared" si="21"/>
        <v>-1815</v>
      </c>
      <c r="F77" s="3">
        <f t="shared" si="21"/>
        <v>-1815</v>
      </c>
      <c r="G77" s="3">
        <f t="shared" si="21"/>
        <v>-1815</v>
      </c>
      <c r="H77" s="3">
        <f t="shared" si="21"/>
        <v>-1815</v>
      </c>
      <c r="I77" s="3">
        <f t="shared" si="21"/>
        <v>-2057</v>
      </c>
      <c r="J77" s="3">
        <f t="shared" si="21"/>
        <v>-2057</v>
      </c>
      <c r="K77" s="3">
        <f t="shared" si="21"/>
        <v>-2057</v>
      </c>
      <c r="L77" s="3">
        <f t="shared" si="21"/>
        <v>-2057</v>
      </c>
      <c r="M77" s="3">
        <f t="shared" si="21"/>
        <v>-2057</v>
      </c>
      <c r="N77" s="3">
        <f t="shared" si="21"/>
        <v>-2057</v>
      </c>
      <c r="O77" s="94">
        <f t="shared" si="19"/>
        <v>-23232</v>
      </c>
      <c r="Q77" t="s">
        <v>0</v>
      </c>
      <c r="R77" s="3">
        <f t="shared" si="9"/>
        <v>-23232</v>
      </c>
    </row>
    <row r="78" spans="1:18" x14ac:dyDescent="0.25"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94"/>
      <c r="R78" s="3"/>
    </row>
    <row r="79" spans="1:18" x14ac:dyDescent="0.25">
      <c r="A79" t="s">
        <v>50</v>
      </c>
      <c r="C79" s="3">
        <v>150</v>
      </c>
      <c r="D79" s="3">
        <v>150</v>
      </c>
      <c r="E79" s="3">
        <v>150</v>
      </c>
      <c r="F79" s="3">
        <v>150</v>
      </c>
      <c r="G79" s="3">
        <v>150</v>
      </c>
      <c r="H79" s="3">
        <v>150</v>
      </c>
      <c r="I79" s="3">
        <v>150</v>
      </c>
      <c r="J79" s="3">
        <v>150</v>
      </c>
      <c r="K79" s="3">
        <v>180</v>
      </c>
      <c r="L79" s="3">
        <v>180</v>
      </c>
      <c r="M79" s="3">
        <v>180</v>
      </c>
      <c r="N79" s="3">
        <v>180</v>
      </c>
      <c r="O79" s="94"/>
      <c r="Q79" t="s">
        <v>125</v>
      </c>
      <c r="R79" s="3">
        <f t="shared" si="9"/>
        <v>1920</v>
      </c>
    </row>
    <row r="80" spans="1:18" x14ac:dyDescent="0.25">
      <c r="A80" t="s">
        <v>75</v>
      </c>
      <c r="C80" s="3">
        <v>31.5</v>
      </c>
      <c r="D80" s="3">
        <v>31.5</v>
      </c>
      <c r="E80" s="3">
        <v>31.5</v>
      </c>
      <c r="F80" s="3">
        <v>31.5</v>
      </c>
      <c r="G80" s="3">
        <v>31.5</v>
      </c>
      <c r="H80" s="3">
        <v>31.5</v>
      </c>
      <c r="I80" s="3">
        <v>31.5</v>
      </c>
      <c r="J80" s="3">
        <v>31.5</v>
      </c>
      <c r="K80" s="3">
        <v>37.799999999999997</v>
      </c>
      <c r="L80" s="3">
        <v>37.799999999999997</v>
      </c>
      <c r="M80" s="3">
        <v>37.799999999999997</v>
      </c>
      <c r="N80" s="3">
        <v>37.799999999999997</v>
      </c>
      <c r="P80" s="94">
        <f>SUM(B80:N80)</f>
        <v>403.20000000000005</v>
      </c>
      <c r="Q80" t="s">
        <v>75</v>
      </c>
      <c r="R80" s="3">
        <f t="shared" si="9"/>
        <v>403.20000000000005</v>
      </c>
    </row>
    <row r="81" spans="1:18" x14ac:dyDescent="0.25">
      <c r="A81" t="s">
        <v>0</v>
      </c>
      <c r="C81" s="3">
        <f>SUM(C79:C80)*-1</f>
        <v>-181.5</v>
      </c>
      <c r="D81" s="3">
        <f t="shared" ref="D81:N81" si="22">SUM(D79:D80)*-1</f>
        <v>-181.5</v>
      </c>
      <c r="E81" s="3">
        <f t="shared" si="22"/>
        <v>-181.5</v>
      </c>
      <c r="F81" s="3">
        <f t="shared" si="22"/>
        <v>-181.5</v>
      </c>
      <c r="G81" s="3">
        <f t="shared" si="22"/>
        <v>-181.5</v>
      </c>
      <c r="H81" s="3">
        <f t="shared" si="22"/>
        <v>-181.5</v>
      </c>
      <c r="I81" s="3">
        <f t="shared" si="22"/>
        <v>-181.5</v>
      </c>
      <c r="J81" s="3">
        <f t="shared" si="22"/>
        <v>-181.5</v>
      </c>
      <c r="K81" s="3">
        <f t="shared" si="22"/>
        <v>-217.8</v>
      </c>
      <c r="L81" s="3">
        <f t="shared" si="22"/>
        <v>-217.8</v>
      </c>
      <c r="M81" s="3">
        <f t="shared" si="22"/>
        <v>-217.8</v>
      </c>
      <c r="N81" s="3">
        <f t="shared" si="22"/>
        <v>-217.8</v>
      </c>
      <c r="O81" s="94">
        <f t="shared" si="19"/>
        <v>-2323.2000000000003</v>
      </c>
      <c r="Q81" t="s">
        <v>0</v>
      </c>
      <c r="R81" s="3">
        <f t="shared" si="9"/>
        <v>-2323.2000000000003</v>
      </c>
    </row>
    <row r="82" spans="1:18" x14ac:dyDescent="0.25"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94"/>
      <c r="R82" s="3"/>
    </row>
    <row r="83" spans="1:18" x14ac:dyDescent="0.25">
      <c r="A83" t="s">
        <v>53</v>
      </c>
      <c r="C83" s="3">
        <v>4500</v>
      </c>
      <c r="D83" s="3">
        <v>4500</v>
      </c>
      <c r="E83" s="3">
        <v>3000</v>
      </c>
      <c r="F83" s="3">
        <v>2500</v>
      </c>
      <c r="G83" s="3">
        <v>2000</v>
      </c>
      <c r="H83" s="3">
        <v>1500</v>
      </c>
      <c r="I83" s="3">
        <v>1500</v>
      </c>
      <c r="J83" s="3">
        <v>1500</v>
      </c>
      <c r="K83" s="3">
        <v>3000</v>
      </c>
      <c r="L83" s="3">
        <v>3000</v>
      </c>
      <c r="M83" s="3">
        <v>3000</v>
      </c>
      <c r="N83" s="3">
        <v>3000</v>
      </c>
      <c r="O83" s="94"/>
      <c r="Q83" t="s">
        <v>126</v>
      </c>
      <c r="R83" s="3">
        <f t="shared" si="9"/>
        <v>33000</v>
      </c>
    </row>
    <row r="84" spans="1:18" x14ac:dyDescent="0.25">
      <c r="A84" t="s">
        <v>75</v>
      </c>
      <c r="C84" s="3">
        <v>945</v>
      </c>
      <c r="D84" s="3">
        <v>945</v>
      </c>
      <c r="E84" s="3">
        <v>630</v>
      </c>
      <c r="F84" s="3">
        <v>525</v>
      </c>
      <c r="G84" s="3">
        <v>420</v>
      </c>
      <c r="H84" s="3">
        <v>315</v>
      </c>
      <c r="I84" s="3">
        <v>315</v>
      </c>
      <c r="J84" s="3">
        <v>315</v>
      </c>
      <c r="K84" s="3">
        <v>630</v>
      </c>
      <c r="L84" s="3">
        <v>630</v>
      </c>
      <c r="M84" s="3">
        <v>630</v>
      </c>
      <c r="N84" s="3">
        <v>630</v>
      </c>
      <c r="P84" s="94">
        <f>SUM(B84:N84)</f>
        <v>6930</v>
      </c>
      <c r="Q84" t="s">
        <v>75</v>
      </c>
      <c r="R84" s="3">
        <f t="shared" si="9"/>
        <v>6930</v>
      </c>
    </row>
    <row r="85" spans="1:18" x14ac:dyDescent="0.25">
      <c r="A85" t="s">
        <v>0</v>
      </c>
      <c r="C85" s="3">
        <f>SUM(C83:C84)*-1</f>
        <v>-5445</v>
      </c>
      <c r="D85" s="3">
        <f t="shared" ref="D85:N85" si="23">SUM(D83:D84)*-1</f>
        <v>-5445</v>
      </c>
      <c r="E85" s="3">
        <f t="shared" si="23"/>
        <v>-3630</v>
      </c>
      <c r="F85" s="3">
        <f t="shared" si="23"/>
        <v>-3025</v>
      </c>
      <c r="G85" s="3">
        <f t="shared" si="23"/>
        <v>-2420</v>
      </c>
      <c r="H85" s="3">
        <f t="shared" si="23"/>
        <v>-1815</v>
      </c>
      <c r="I85" s="3">
        <f t="shared" si="23"/>
        <v>-1815</v>
      </c>
      <c r="J85" s="3">
        <f t="shared" si="23"/>
        <v>-1815</v>
      </c>
      <c r="K85" s="3">
        <f t="shared" si="23"/>
        <v>-3630</v>
      </c>
      <c r="L85" s="3">
        <f t="shared" si="23"/>
        <v>-3630</v>
      </c>
      <c r="M85" s="3">
        <f t="shared" si="23"/>
        <v>-3630</v>
      </c>
      <c r="N85" s="3">
        <f t="shared" si="23"/>
        <v>-3630</v>
      </c>
      <c r="O85" s="94">
        <f t="shared" si="19"/>
        <v>-39930</v>
      </c>
      <c r="Q85" t="s">
        <v>0</v>
      </c>
      <c r="R85" s="3">
        <f t="shared" si="9"/>
        <v>-39930</v>
      </c>
    </row>
    <row r="86" spans="1:18" x14ac:dyDescent="0.25"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94"/>
      <c r="R86" s="3"/>
    </row>
    <row r="87" spans="1:18" x14ac:dyDescent="0.25">
      <c r="A87" t="s">
        <v>54</v>
      </c>
      <c r="C87" s="3">
        <v>1255</v>
      </c>
      <c r="D87" s="3">
        <v>890</v>
      </c>
      <c r="E87" s="3">
        <v>963</v>
      </c>
      <c r="F87" s="3">
        <v>980</v>
      </c>
      <c r="G87" s="3">
        <v>1015</v>
      </c>
      <c r="H87" s="3">
        <v>1135</v>
      </c>
      <c r="I87" s="3">
        <v>975</v>
      </c>
      <c r="J87" s="3">
        <v>845</v>
      </c>
      <c r="K87" s="3">
        <v>1356</v>
      </c>
      <c r="L87" s="3">
        <v>1243</v>
      </c>
      <c r="M87" s="3">
        <v>1436</v>
      </c>
      <c r="N87" s="3">
        <v>1563</v>
      </c>
      <c r="O87" s="94"/>
      <c r="Q87" t="s">
        <v>127</v>
      </c>
      <c r="R87" s="3">
        <f t="shared" si="9"/>
        <v>13656</v>
      </c>
    </row>
    <row r="88" spans="1:18" x14ac:dyDescent="0.25">
      <c r="A88" t="s">
        <v>75</v>
      </c>
      <c r="C88" s="3">
        <v>263.55</v>
      </c>
      <c r="D88" s="3">
        <v>186.9</v>
      </c>
      <c r="E88" s="3">
        <v>202.23</v>
      </c>
      <c r="F88" s="3">
        <v>205.79999999999998</v>
      </c>
      <c r="G88" s="3">
        <v>213.15</v>
      </c>
      <c r="H88" s="3">
        <v>238.35</v>
      </c>
      <c r="I88" s="3">
        <v>204.75</v>
      </c>
      <c r="J88" s="3">
        <v>177.45</v>
      </c>
      <c r="K88" s="3">
        <v>284.76</v>
      </c>
      <c r="L88" s="3">
        <v>261.02999999999997</v>
      </c>
      <c r="M88" s="3">
        <v>301.56</v>
      </c>
      <c r="N88" s="3">
        <v>328.22999999999996</v>
      </c>
      <c r="P88" s="94">
        <f>SUM(B88:N88)</f>
        <v>2867.76</v>
      </c>
      <c r="Q88" t="s">
        <v>75</v>
      </c>
      <c r="R88" s="3">
        <f t="shared" si="9"/>
        <v>2867.76</v>
      </c>
    </row>
    <row r="89" spans="1:18" x14ac:dyDescent="0.25">
      <c r="A89" t="s">
        <v>0</v>
      </c>
      <c r="C89" s="3">
        <f>SUM(C87:C88)*-1</f>
        <v>-1518.55</v>
      </c>
      <c r="D89" s="3">
        <f t="shared" ref="D89:N89" si="24">SUM(D87:D88)*-1</f>
        <v>-1076.9000000000001</v>
      </c>
      <c r="E89" s="3">
        <f t="shared" si="24"/>
        <v>-1165.23</v>
      </c>
      <c r="F89" s="3">
        <f t="shared" si="24"/>
        <v>-1185.8</v>
      </c>
      <c r="G89" s="3">
        <f t="shared" si="24"/>
        <v>-1228.1500000000001</v>
      </c>
      <c r="H89" s="3">
        <f t="shared" si="24"/>
        <v>-1373.35</v>
      </c>
      <c r="I89" s="3">
        <f t="shared" si="24"/>
        <v>-1179.75</v>
      </c>
      <c r="J89" s="3">
        <f t="shared" si="24"/>
        <v>-1022.45</v>
      </c>
      <c r="K89" s="3">
        <f t="shared" si="24"/>
        <v>-1640.76</v>
      </c>
      <c r="L89" s="3">
        <f t="shared" si="24"/>
        <v>-1504.03</v>
      </c>
      <c r="M89" s="3">
        <f t="shared" si="24"/>
        <v>-1737.56</v>
      </c>
      <c r="N89" s="3">
        <f t="shared" si="24"/>
        <v>-1891.23</v>
      </c>
      <c r="O89" s="94">
        <f t="shared" si="19"/>
        <v>-16523.760000000002</v>
      </c>
      <c r="Q89" t="s">
        <v>0</v>
      </c>
      <c r="R89" s="3">
        <f t="shared" si="9"/>
        <v>-16523.760000000002</v>
      </c>
    </row>
    <row r="90" spans="1:18" x14ac:dyDescent="0.25">
      <c r="O90" s="94"/>
    </row>
    <row r="91" spans="1:18" x14ac:dyDescent="0.25">
      <c r="B91" s="3">
        <f>SUM(B2:B90)</f>
        <v>0</v>
      </c>
      <c r="C91" s="3">
        <f t="shared" ref="C91:M91" si="25">SUM(C11:C90)</f>
        <v>0</v>
      </c>
      <c r="D91" s="3">
        <f t="shared" si="25"/>
        <v>1.4551915228366852E-11</v>
      </c>
      <c r="E91" s="3">
        <f t="shared" si="25"/>
        <v>0</v>
      </c>
      <c r="F91" s="3">
        <f t="shared" si="25"/>
        <v>0</v>
      </c>
      <c r="G91" s="3">
        <f t="shared" si="25"/>
        <v>0</v>
      </c>
      <c r="H91" s="3">
        <f t="shared" si="25"/>
        <v>0</v>
      </c>
      <c r="I91" s="3">
        <f t="shared" si="25"/>
        <v>0</v>
      </c>
      <c r="J91" s="3">
        <f t="shared" si="25"/>
        <v>0</v>
      </c>
      <c r="K91" s="3">
        <f t="shared" si="25"/>
        <v>0</v>
      </c>
      <c r="L91" s="3">
        <f t="shared" si="25"/>
        <v>0</v>
      </c>
      <c r="M91" s="3">
        <f t="shared" si="25"/>
        <v>0</v>
      </c>
      <c r="N91" s="3">
        <f>SUM(N11:N90)</f>
        <v>-2.9103830456733704E-11</v>
      </c>
      <c r="O91" s="94">
        <f>SUM(O2:O90)</f>
        <v>559157.31999999995</v>
      </c>
      <c r="P91" s="94">
        <f>SUM(P2:P90)</f>
        <v>-136291.68000000005</v>
      </c>
      <c r="R91" s="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x14ac:dyDescent="0.25"/>
  <cols>
    <col min="1" max="1" width="25.42578125" customWidth="1"/>
    <col min="2" max="14" width="10.85546875" bestFit="1" customWidth="1"/>
    <col min="15" max="16" width="14.85546875" style="98" customWidth="1"/>
  </cols>
  <sheetData>
    <row r="1" spans="1:16" x14ac:dyDescent="0.25">
      <c r="A1" s="42" t="s">
        <v>77</v>
      </c>
      <c r="B1" s="48">
        <v>42705</v>
      </c>
      <c r="C1" s="48">
        <v>42736</v>
      </c>
      <c r="D1" s="48">
        <v>42767</v>
      </c>
      <c r="E1" s="48">
        <v>42795</v>
      </c>
      <c r="F1" s="48">
        <v>42826</v>
      </c>
      <c r="G1" s="48">
        <v>42856</v>
      </c>
      <c r="H1" s="48">
        <v>42887</v>
      </c>
      <c r="I1" s="48">
        <v>42917</v>
      </c>
      <c r="J1" s="48">
        <v>42948</v>
      </c>
      <c r="K1" s="48">
        <v>42979</v>
      </c>
      <c r="L1" s="48">
        <v>43009</v>
      </c>
      <c r="M1" s="48">
        <v>43040</v>
      </c>
      <c r="N1" s="48">
        <v>43070</v>
      </c>
      <c r="O1" s="96" t="s">
        <v>0</v>
      </c>
      <c r="P1" s="96" t="s">
        <v>221</v>
      </c>
    </row>
    <row r="2" spans="1:16" x14ac:dyDescent="0.25">
      <c r="A2" s="38" t="s">
        <v>76</v>
      </c>
      <c r="B2" s="2">
        <v>246376</v>
      </c>
      <c r="O2" s="97">
        <f>SUM(B2:N2)</f>
        <v>246376</v>
      </c>
    </row>
    <row r="3" spans="1:16" x14ac:dyDescent="0.25">
      <c r="A3" t="s">
        <v>75</v>
      </c>
      <c r="C3" s="55">
        <v>17955</v>
      </c>
      <c r="D3" s="55">
        <v>15561</v>
      </c>
      <c r="E3" s="55">
        <v>14994</v>
      </c>
      <c r="F3" s="55">
        <v>17493</v>
      </c>
      <c r="G3" s="55">
        <v>10080</v>
      </c>
      <c r="H3" s="55">
        <v>21168</v>
      </c>
      <c r="I3" s="55">
        <v>20317.5</v>
      </c>
      <c r="J3" s="55">
        <v>21105</v>
      </c>
      <c r="K3" s="55">
        <v>23184</v>
      </c>
      <c r="L3" s="55">
        <v>23184</v>
      </c>
      <c r="M3" s="55">
        <v>26649</v>
      </c>
      <c r="N3" s="55">
        <v>29893.5</v>
      </c>
      <c r="P3" s="97">
        <f>SUM(B3:N3)</f>
        <v>241584</v>
      </c>
    </row>
    <row r="4" spans="1:16" x14ac:dyDescent="0.25">
      <c r="A4" s="38" t="s">
        <v>76</v>
      </c>
      <c r="C4" s="50">
        <v>-103455</v>
      </c>
      <c r="D4" s="50">
        <v>-89661</v>
      </c>
      <c r="E4" s="50">
        <v>-86394</v>
      </c>
      <c r="F4" s="50">
        <v>-100793</v>
      </c>
      <c r="G4" s="50">
        <v>-58080</v>
      </c>
      <c r="H4" s="50">
        <v>-121968</v>
      </c>
      <c r="I4" s="50">
        <v>-117067.5</v>
      </c>
      <c r="J4" s="50">
        <v>-121605</v>
      </c>
      <c r="K4" s="50">
        <v>-133584</v>
      </c>
      <c r="L4" s="50">
        <v>-133584</v>
      </c>
      <c r="M4" s="50">
        <v>-161226.45000000001</v>
      </c>
      <c r="N4" s="56">
        <v>0</v>
      </c>
      <c r="O4" s="97">
        <f t="shared" ref="O4:O18" si="0">SUM(B4:N4)</f>
        <v>-1227417.95</v>
      </c>
      <c r="P4" s="99"/>
    </row>
    <row r="5" spans="1:16" x14ac:dyDescent="0.25">
      <c r="A5" s="38" t="s">
        <v>76</v>
      </c>
      <c r="C5" s="3">
        <v>172562.94</v>
      </c>
      <c r="D5" s="3">
        <v>152699.58000000002</v>
      </c>
      <c r="E5" s="3">
        <v>138662.37</v>
      </c>
      <c r="F5" s="3">
        <v>178835.58000000002</v>
      </c>
      <c r="G5" s="3">
        <v>163350</v>
      </c>
      <c r="H5" s="3">
        <v>200332.44</v>
      </c>
      <c r="I5" s="3">
        <v>230388.84</v>
      </c>
      <c r="J5" s="3">
        <v>233481.60000000001</v>
      </c>
      <c r="K5" s="3">
        <v>238948.38</v>
      </c>
      <c r="L5" s="3">
        <v>244959.66</v>
      </c>
      <c r="M5" s="57">
        <v>0</v>
      </c>
      <c r="N5" s="3">
        <v>298908.71999999997</v>
      </c>
      <c r="O5" s="97">
        <f t="shared" si="0"/>
        <v>2253130.11</v>
      </c>
    </row>
    <row r="6" spans="1:16" x14ac:dyDescent="0.25">
      <c r="A6" t="s">
        <v>78</v>
      </c>
      <c r="C6" s="3">
        <v>-29948.94</v>
      </c>
      <c r="D6" s="3">
        <v>-26501.58</v>
      </c>
      <c r="E6" s="3">
        <v>-24065.37</v>
      </c>
      <c r="F6" s="3">
        <v>-31037.58</v>
      </c>
      <c r="G6" s="3">
        <v>-28350</v>
      </c>
      <c r="H6" s="3">
        <v>-34768.44</v>
      </c>
      <c r="I6" s="3">
        <v>-39984.839999999997</v>
      </c>
      <c r="J6" s="3">
        <v>-40521.599999999999</v>
      </c>
      <c r="K6" s="3">
        <v>-41470.379999999997</v>
      </c>
      <c r="L6" s="3">
        <v>-42513.66</v>
      </c>
      <c r="M6" s="3">
        <v>-45036.81</v>
      </c>
      <c r="N6" s="3">
        <v>-51876.72</v>
      </c>
      <c r="P6" s="97">
        <f>SUM(B6:N6)</f>
        <v>-436075.92000000004</v>
      </c>
    </row>
    <row r="7" spans="1:16" x14ac:dyDescent="0.25">
      <c r="A7" t="s">
        <v>75</v>
      </c>
      <c r="C7" s="3">
        <v>1680</v>
      </c>
      <c r="D7" s="3">
        <v>1680</v>
      </c>
      <c r="E7" s="3">
        <v>1680</v>
      </c>
      <c r="F7" s="3">
        <v>1680</v>
      </c>
      <c r="G7" s="3">
        <v>1680</v>
      </c>
      <c r="H7" s="3">
        <v>1680</v>
      </c>
      <c r="I7" s="3">
        <v>1848</v>
      </c>
      <c r="J7" s="3">
        <v>1848</v>
      </c>
      <c r="K7" s="3">
        <v>1848</v>
      </c>
      <c r="L7" s="3">
        <v>1848</v>
      </c>
      <c r="M7" s="3">
        <v>1848</v>
      </c>
      <c r="N7" s="3">
        <v>1848</v>
      </c>
      <c r="P7" s="97">
        <f>SUM(B7:N7)</f>
        <v>21168</v>
      </c>
    </row>
    <row r="8" spans="1:16" x14ac:dyDescent="0.25">
      <c r="A8" s="38" t="s">
        <v>76</v>
      </c>
      <c r="C8" s="3">
        <v>-9680</v>
      </c>
      <c r="D8" s="3">
        <v>-9680</v>
      </c>
      <c r="E8" s="3">
        <v>-9680</v>
      </c>
      <c r="F8" s="3">
        <v>-9680</v>
      </c>
      <c r="G8" s="3">
        <v>-9680</v>
      </c>
      <c r="H8" s="3">
        <v>-9680</v>
      </c>
      <c r="I8" s="3">
        <v>-10648</v>
      </c>
      <c r="J8" s="3">
        <v>-10648</v>
      </c>
      <c r="K8" s="3">
        <v>-10648</v>
      </c>
      <c r="L8" s="3">
        <v>-10648</v>
      </c>
      <c r="M8" s="3">
        <v>-10648</v>
      </c>
      <c r="N8" s="3">
        <v>-10648</v>
      </c>
      <c r="O8" s="97">
        <f t="shared" si="0"/>
        <v>-121968</v>
      </c>
    </row>
    <row r="9" spans="1:16" x14ac:dyDescent="0.25">
      <c r="A9" s="38" t="s">
        <v>76</v>
      </c>
      <c r="C9" s="3">
        <v>-23940</v>
      </c>
      <c r="D9" s="3">
        <v>-23940</v>
      </c>
      <c r="E9" s="3">
        <v>-23940</v>
      </c>
      <c r="F9" s="3">
        <v>-23940</v>
      </c>
      <c r="G9" s="3">
        <v>-23940</v>
      </c>
      <c r="H9" s="3">
        <v>-35910</v>
      </c>
      <c r="I9" s="3">
        <v>-23940</v>
      </c>
      <c r="J9" s="3">
        <v>-27531</v>
      </c>
      <c r="K9" s="3">
        <v>-27531</v>
      </c>
      <c r="L9" s="3">
        <v>-27531</v>
      </c>
      <c r="M9" s="3">
        <v>-27531</v>
      </c>
      <c r="N9" s="57">
        <v>0</v>
      </c>
      <c r="O9" s="97">
        <f t="shared" si="0"/>
        <v>-289674</v>
      </c>
    </row>
    <row r="10" spans="1:16" x14ac:dyDescent="0.25">
      <c r="A10" s="38" t="s">
        <v>76</v>
      </c>
      <c r="C10" s="3">
        <v>-2551</v>
      </c>
      <c r="D10" s="3">
        <v>-2350</v>
      </c>
      <c r="E10" s="3">
        <v>-2668</v>
      </c>
      <c r="F10" s="3">
        <v>-2888</v>
      </c>
      <c r="G10" s="3">
        <v>-2853</v>
      </c>
      <c r="H10" s="3">
        <v>-2543</v>
      </c>
      <c r="I10" s="3">
        <v>-2690</v>
      </c>
      <c r="J10" s="3">
        <v>-3027</v>
      </c>
      <c r="K10" s="3">
        <v>-3101</v>
      </c>
      <c r="L10" s="3">
        <v>-3185</v>
      </c>
      <c r="M10" s="3">
        <v>-3224</v>
      </c>
      <c r="N10" s="57">
        <v>0</v>
      </c>
      <c r="O10" s="97">
        <f t="shared" si="0"/>
        <v>-31080</v>
      </c>
    </row>
    <row r="11" spans="1:16" x14ac:dyDescent="0.25">
      <c r="A11" t="s">
        <v>75</v>
      </c>
      <c r="C11" s="3">
        <v>2664.69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P11" s="97">
        <f>SUM(B11:N11)</f>
        <v>2664.69</v>
      </c>
    </row>
    <row r="12" spans="1:16" x14ac:dyDescent="0.25">
      <c r="A12" s="38" t="s">
        <v>76</v>
      </c>
      <c r="C12" s="3">
        <v>-15353.69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0</v>
      </c>
      <c r="N12" s="3">
        <v>0</v>
      </c>
      <c r="O12" s="97">
        <f t="shared" si="0"/>
        <v>-15353.69</v>
      </c>
    </row>
    <row r="13" spans="1:16" x14ac:dyDescent="0.25">
      <c r="A13" t="s">
        <v>75</v>
      </c>
      <c r="C13" s="3">
        <v>686.06999999999994</v>
      </c>
      <c r="D13" s="3">
        <v>422.72999999999996</v>
      </c>
      <c r="E13" s="3">
        <v>392.07</v>
      </c>
      <c r="F13" s="3">
        <v>329.7</v>
      </c>
      <c r="G13" s="3">
        <v>278.45999999999998</v>
      </c>
      <c r="H13" s="3">
        <v>299.45999999999998</v>
      </c>
      <c r="I13" s="3">
        <v>261.24</v>
      </c>
      <c r="J13" s="3">
        <v>274.05</v>
      </c>
      <c r="K13" s="3">
        <v>242.76</v>
      </c>
      <c r="L13" s="3">
        <v>289.17</v>
      </c>
      <c r="M13" s="3">
        <v>266.07</v>
      </c>
      <c r="N13" s="3">
        <v>354.27</v>
      </c>
      <c r="P13" s="97">
        <f>SUM(B13:N13)</f>
        <v>4096.05</v>
      </c>
    </row>
    <row r="14" spans="1:16" x14ac:dyDescent="0.25">
      <c r="A14" s="38" t="s">
        <v>76</v>
      </c>
      <c r="C14" s="3">
        <v>-3953.0699999999997</v>
      </c>
      <c r="D14" s="3">
        <v>-2435.73</v>
      </c>
      <c r="E14" s="3">
        <v>-2259.0700000000002</v>
      </c>
      <c r="F14" s="3">
        <v>-1899.7</v>
      </c>
      <c r="G14" s="3">
        <v>-1604.46</v>
      </c>
      <c r="H14" s="3">
        <v>-1725.46</v>
      </c>
      <c r="I14" s="3">
        <v>-1505.24</v>
      </c>
      <c r="J14" s="3">
        <v>-1579.05</v>
      </c>
      <c r="K14" s="3">
        <v>-1398.76</v>
      </c>
      <c r="L14" s="3">
        <v>-1666.17</v>
      </c>
      <c r="M14" s="3">
        <v>-1533.07</v>
      </c>
      <c r="N14" s="3">
        <v>-2041.27</v>
      </c>
      <c r="O14" s="97">
        <f t="shared" si="0"/>
        <v>-23601.05</v>
      </c>
    </row>
    <row r="15" spans="1:16" x14ac:dyDescent="0.25">
      <c r="A15" t="s">
        <v>75</v>
      </c>
      <c r="C15" s="3">
        <v>346.5</v>
      </c>
      <c r="D15" s="3">
        <v>263.13</v>
      </c>
      <c r="E15" s="3">
        <v>324.02999999999997</v>
      </c>
      <c r="F15" s="3">
        <v>416.43</v>
      </c>
      <c r="G15" s="3">
        <v>221.76</v>
      </c>
      <c r="H15" s="3">
        <v>704.76</v>
      </c>
      <c r="I15" s="3">
        <v>288.95999999999998</v>
      </c>
      <c r="J15" s="3">
        <v>464.31</v>
      </c>
      <c r="K15" s="3">
        <v>448.77</v>
      </c>
      <c r="L15" s="3">
        <v>470.4</v>
      </c>
      <c r="M15" s="3">
        <v>515.76</v>
      </c>
      <c r="N15" s="3">
        <v>483.21</v>
      </c>
      <c r="P15" s="97">
        <f>SUM(B15:N15)</f>
        <v>4948.0199999999995</v>
      </c>
    </row>
    <row r="16" spans="1:16" x14ac:dyDescent="0.25">
      <c r="A16" s="38" t="s">
        <v>76</v>
      </c>
      <c r="C16" s="3">
        <v>-1996.5</v>
      </c>
      <c r="D16" s="3">
        <v>-1516.13</v>
      </c>
      <c r="E16" s="3">
        <v>-1867.03</v>
      </c>
      <c r="F16" s="3">
        <v>-2399.4299999999998</v>
      </c>
      <c r="G16" s="3">
        <v>-1277.76</v>
      </c>
      <c r="H16" s="3">
        <v>-4060.76</v>
      </c>
      <c r="I16" s="3">
        <v>-1664.96</v>
      </c>
      <c r="J16" s="3">
        <v>-2675.31</v>
      </c>
      <c r="K16" s="3">
        <v>-2585.77</v>
      </c>
      <c r="L16" s="3">
        <v>-2710.4</v>
      </c>
      <c r="M16" s="3">
        <v>-2971.76</v>
      </c>
      <c r="N16" s="3">
        <v>-2784.21</v>
      </c>
      <c r="O16" s="97">
        <f t="shared" si="0"/>
        <v>-28510.020000000004</v>
      </c>
    </row>
    <row r="17" spans="1:16" x14ac:dyDescent="0.25">
      <c r="A17" t="s">
        <v>75</v>
      </c>
      <c r="C17" s="3">
        <v>420</v>
      </c>
      <c r="D17" s="3">
        <v>420</v>
      </c>
      <c r="E17" s="3">
        <v>420</v>
      </c>
      <c r="F17" s="3">
        <v>420</v>
      </c>
      <c r="G17" s="3">
        <v>420</v>
      </c>
      <c r="H17" s="3">
        <v>420</v>
      </c>
      <c r="I17" s="3">
        <v>420</v>
      </c>
      <c r="J17" s="3">
        <v>420</v>
      </c>
      <c r="K17" s="3">
        <v>420</v>
      </c>
      <c r="L17" s="3">
        <v>420</v>
      </c>
      <c r="M17" s="3">
        <v>525</v>
      </c>
      <c r="N17" s="3">
        <v>525</v>
      </c>
      <c r="P17" s="97">
        <f>SUM(B17:N17)</f>
        <v>5250</v>
      </c>
    </row>
    <row r="18" spans="1:16" x14ac:dyDescent="0.25">
      <c r="A18" s="38" t="s">
        <v>76</v>
      </c>
      <c r="C18" s="3">
        <v>-2420</v>
      </c>
      <c r="D18" s="3">
        <v>-2420</v>
      </c>
      <c r="E18" s="3">
        <v>-2420</v>
      </c>
      <c r="F18" s="3">
        <v>-2420</v>
      </c>
      <c r="G18" s="3">
        <v>-2420</v>
      </c>
      <c r="H18" s="3">
        <v>-2420</v>
      </c>
      <c r="I18" s="3">
        <v>-2420</v>
      </c>
      <c r="J18" s="3">
        <v>-2420</v>
      </c>
      <c r="K18" s="3">
        <v>-2420</v>
      </c>
      <c r="L18" s="3">
        <v>-2420</v>
      </c>
      <c r="M18" s="3">
        <v>-3025</v>
      </c>
      <c r="N18" s="57">
        <v>0</v>
      </c>
      <c r="O18" s="97">
        <f t="shared" si="0"/>
        <v>-27225</v>
      </c>
    </row>
    <row r="19" spans="1:16" x14ac:dyDescent="0.25">
      <c r="A19" s="38" t="s">
        <v>76</v>
      </c>
      <c r="C19" s="3">
        <v>-4634.42</v>
      </c>
      <c r="D19" s="3">
        <v>-4174.9400000000005</v>
      </c>
      <c r="E19" s="3">
        <v>-3869.91</v>
      </c>
      <c r="F19" s="3">
        <v>-4889.9399999999996</v>
      </c>
      <c r="G19" s="3">
        <v>-4509</v>
      </c>
      <c r="H19" s="3">
        <v>-5438.92</v>
      </c>
      <c r="I19" s="3">
        <v>-6187.12</v>
      </c>
      <c r="J19" s="3">
        <v>-6266.8</v>
      </c>
      <c r="K19" s="3">
        <v>-6407.34</v>
      </c>
      <c r="L19" s="3">
        <v>-6559.38</v>
      </c>
      <c r="M19" s="3">
        <v>-6919.83</v>
      </c>
      <c r="N19" s="57"/>
      <c r="O19" s="97">
        <f t="shared" ref="O19:O29" si="1">SUM(B19:N19)</f>
        <v>-59857.599999999999</v>
      </c>
    </row>
    <row r="20" spans="1:16" x14ac:dyDescent="0.25">
      <c r="A20" t="s">
        <v>75</v>
      </c>
      <c r="C20" s="3">
        <v>388.5</v>
      </c>
      <c r="D20" s="3">
        <v>493.5</v>
      </c>
      <c r="E20" s="3">
        <v>420.21</v>
      </c>
      <c r="F20" s="3">
        <v>410.13</v>
      </c>
      <c r="G20" s="3">
        <v>455.07</v>
      </c>
      <c r="H20" s="3">
        <v>493.5</v>
      </c>
      <c r="I20" s="3">
        <v>390.59999999999997</v>
      </c>
      <c r="J20" s="3">
        <v>511.34999999999997</v>
      </c>
      <c r="K20" s="3">
        <v>539.06999999999994</v>
      </c>
      <c r="L20" s="3">
        <v>552.92999999999995</v>
      </c>
      <c r="M20" s="3">
        <v>578.76</v>
      </c>
      <c r="N20" s="3">
        <v>606.9</v>
      </c>
      <c r="P20" s="97">
        <f>SUM(B20:N20)</f>
        <v>5840.52</v>
      </c>
    </row>
    <row r="21" spans="1:16" x14ac:dyDescent="0.25">
      <c r="A21" s="38" t="s">
        <v>76</v>
      </c>
      <c r="C21" s="3">
        <v>-2238.5</v>
      </c>
      <c r="D21" s="3">
        <v>-2843.5</v>
      </c>
      <c r="E21" s="3">
        <v>-2421.21</v>
      </c>
      <c r="F21" s="3">
        <v>-2363.13</v>
      </c>
      <c r="G21" s="3">
        <v>-2622.07</v>
      </c>
      <c r="H21" s="3">
        <v>-2843.5</v>
      </c>
      <c r="I21" s="3">
        <v>-2250.6</v>
      </c>
      <c r="J21" s="3">
        <v>-2946.35</v>
      </c>
      <c r="K21" s="3">
        <v>-3106.0699999999997</v>
      </c>
      <c r="L21" s="3">
        <v>-3185.93</v>
      </c>
      <c r="M21" s="3">
        <v>-3334.76</v>
      </c>
      <c r="N21" s="3">
        <v>-3496.9</v>
      </c>
      <c r="O21" s="97">
        <f t="shared" si="1"/>
        <v>-33652.519999999997</v>
      </c>
    </row>
    <row r="22" spans="1:16" x14ac:dyDescent="0.25">
      <c r="A22" t="s">
        <v>75</v>
      </c>
      <c r="C22" s="3">
        <v>315</v>
      </c>
      <c r="D22" s="3">
        <v>315</v>
      </c>
      <c r="E22" s="3">
        <v>315</v>
      </c>
      <c r="F22" s="3">
        <v>315</v>
      </c>
      <c r="G22" s="3">
        <v>315</v>
      </c>
      <c r="H22" s="3">
        <v>315</v>
      </c>
      <c r="I22" s="3">
        <v>357</v>
      </c>
      <c r="J22" s="3">
        <v>357</v>
      </c>
      <c r="K22" s="3">
        <v>357</v>
      </c>
      <c r="L22" s="3">
        <v>357</v>
      </c>
      <c r="M22" s="3">
        <v>357</v>
      </c>
      <c r="N22" s="3">
        <v>357</v>
      </c>
      <c r="P22" s="97">
        <f>SUM(B22:N22)</f>
        <v>4032</v>
      </c>
    </row>
    <row r="23" spans="1:16" x14ac:dyDescent="0.25">
      <c r="A23" s="38" t="s">
        <v>76</v>
      </c>
      <c r="C23" s="3">
        <v>-1815</v>
      </c>
      <c r="D23" s="3">
        <v>-1815</v>
      </c>
      <c r="E23" s="3">
        <v>-1815</v>
      </c>
      <c r="F23" s="3">
        <v>-1815</v>
      </c>
      <c r="G23" s="3">
        <v>-1815</v>
      </c>
      <c r="H23" s="3">
        <v>-1815</v>
      </c>
      <c r="I23" s="3">
        <v>-2057</v>
      </c>
      <c r="J23" s="3">
        <v>-2057</v>
      </c>
      <c r="K23" s="3">
        <v>-2057</v>
      </c>
      <c r="L23" s="3">
        <v>-2057</v>
      </c>
      <c r="M23" s="3">
        <v>-2057</v>
      </c>
      <c r="N23" s="3">
        <v>-2057</v>
      </c>
      <c r="O23" s="97">
        <f t="shared" si="1"/>
        <v>-23232</v>
      </c>
    </row>
    <row r="24" spans="1:16" x14ac:dyDescent="0.25">
      <c r="A24" t="s">
        <v>75</v>
      </c>
      <c r="C24" s="3">
        <v>31.5</v>
      </c>
      <c r="D24" s="3">
        <v>31.5</v>
      </c>
      <c r="E24" s="3">
        <v>31.5</v>
      </c>
      <c r="F24" s="3">
        <v>31.5</v>
      </c>
      <c r="G24" s="3">
        <v>31.5</v>
      </c>
      <c r="H24" s="3">
        <v>31.5</v>
      </c>
      <c r="I24" s="3">
        <v>31.5</v>
      </c>
      <c r="J24" s="3">
        <v>31.5</v>
      </c>
      <c r="K24" s="3">
        <v>37.799999999999997</v>
      </c>
      <c r="L24" s="3">
        <v>37.799999999999997</v>
      </c>
      <c r="M24" s="3">
        <v>37.799999999999997</v>
      </c>
      <c r="N24" s="3">
        <v>37.799999999999997</v>
      </c>
      <c r="P24" s="97">
        <f>SUM(B24:N24)</f>
        <v>403.20000000000005</v>
      </c>
    </row>
    <row r="25" spans="1:16" x14ac:dyDescent="0.25">
      <c r="A25" s="38" t="s">
        <v>76</v>
      </c>
      <c r="C25" s="3">
        <v>-181.5</v>
      </c>
      <c r="D25" s="3">
        <v>-181.5</v>
      </c>
      <c r="E25" s="3">
        <v>-181.5</v>
      </c>
      <c r="F25" s="3">
        <v>-181.5</v>
      </c>
      <c r="G25" s="3">
        <v>-181.5</v>
      </c>
      <c r="H25" s="3">
        <v>-181.5</v>
      </c>
      <c r="I25" s="3">
        <v>-181.5</v>
      </c>
      <c r="J25" s="3">
        <v>-181.5</v>
      </c>
      <c r="K25" s="3">
        <v>-217.8</v>
      </c>
      <c r="L25" s="3">
        <v>-217.8</v>
      </c>
      <c r="M25" s="3">
        <v>-217.8</v>
      </c>
      <c r="N25" s="3">
        <v>-217.8</v>
      </c>
      <c r="O25" s="97">
        <f t="shared" si="1"/>
        <v>-2323.2000000000003</v>
      </c>
    </row>
    <row r="26" spans="1:16" x14ac:dyDescent="0.25">
      <c r="A26" t="s">
        <v>75</v>
      </c>
      <c r="C26" s="3">
        <v>945</v>
      </c>
      <c r="D26" s="3">
        <v>945</v>
      </c>
      <c r="E26" s="3">
        <v>630</v>
      </c>
      <c r="F26" s="3">
        <v>525</v>
      </c>
      <c r="G26" s="3">
        <v>420</v>
      </c>
      <c r="H26" s="3">
        <v>315</v>
      </c>
      <c r="I26" s="3">
        <v>315</v>
      </c>
      <c r="J26" s="3">
        <v>315</v>
      </c>
      <c r="K26" s="3">
        <v>630</v>
      </c>
      <c r="L26" s="3">
        <v>630</v>
      </c>
      <c r="M26" s="3">
        <v>630</v>
      </c>
      <c r="N26" s="3">
        <v>630</v>
      </c>
      <c r="P26" s="97">
        <f>SUM(B26:N26)</f>
        <v>6930</v>
      </c>
    </row>
    <row r="27" spans="1:16" x14ac:dyDescent="0.25">
      <c r="A27" s="38" t="s">
        <v>76</v>
      </c>
      <c r="C27" s="3">
        <v>-5445</v>
      </c>
      <c r="D27" s="3">
        <v>-5445</v>
      </c>
      <c r="E27" s="3">
        <v>-3630</v>
      </c>
      <c r="F27" s="3">
        <v>-3025</v>
      </c>
      <c r="G27" s="3">
        <v>-2420</v>
      </c>
      <c r="H27" s="3">
        <v>-1815</v>
      </c>
      <c r="I27" s="3">
        <v>-1815</v>
      </c>
      <c r="J27" s="3">
        <v>-1815</v>
      </c>
      <c r="K27" s="3">
        <v>-3630</v>
      </c>
      <c r="L27" s="3">
        <v>-3630</v>
      </c>
      <c r="M27" s="3">
        <v>-3630</v>
      </c>
      <c r="N27" s="3">
        <v>-3630</v>
      </c>
      <c r="O27" s="97">
        <f t="shared" si="1"/>
        <v>-39930</v>
      </c>
    </row>
    <row r="28" spans="1:16" x14ac:dyDescent="0.25">
      <c r="A28" t="s">
        <v>75</v>
      </c>
      <c r="C28" s="3">
        <v>263.55</v>
      </c>
      <c r="D28" s="3">
        <v>186.9</v>
      </c>
      <c r="E28" s="3">
        <v>202.23</v>
      </c>
      <c r="F28" s="3">
        <v>205.79999999999998</v>
      </c>
      <c r="G28" s="3">
        <v>213.15</v>
      </c>
      <c r="H28" s="3">
        <v>238.35</v>
      </c>
      <c r="I28" s="3">
        <v>204.75</v>
      </c>
      <c r="J28" s="3">
        <v>177.45</v>
      </c>
      <c r="K28" s="3">
        <v>284.76</v>
      </c>
      <c r="L28" s="3">
        <v>261.02999999999997</v>
      </c>
      <c r="M28" s="3">
        <v>301.56</v>
      </c>
      <c r="N28" s="3">
        <v>328.22999999999996</v>
      </c>
      <c r="P28" s="97">
        <f>SUM(B28:N28)</f>
        <v>2867.76</v>
      </c>
    </row>
    <row r="29" spans="1:16" x14ac:dyDescent="0.25">
      <c r="A29" s="38" t="s">
        <v>76</v>
      </c>
      <c r="C29" s="3">
        <v>-1518.55</v>
      </c>
      <c r="D29" s="3">
        <v>-1076.9000000000001</v>
      </c>
      <c r="E29" s="3">
        <v>-1165.23</v>
      </c>
      <c r="F29" s="3">
        <v>-1185.8</v>
      </c>
      <c r="G29" s="3">
        <v>-1228.1500000000001</v>
      </c>
      <c r="H29" s="3">
        <v>-1373.35</v>
      </c>
      <c r="I29" s="3">
        <v>-1179.75</v>
      </c>
      <c r="J29" s="3">
        <v>-1022.45</v>
      </c>
      <c r="K29" s="3">
        <v>-1640.76</v>
      </c>
      <c r="L29" s="3">
        <v>-1504.03</v>
      </c>
      <c r="M29" s="3">
        <v>-1737.56</v>
      </c>
      <c r="N29" s="3">
        <v>-1891.23</v>
      </c>
      <c r="O29" s="97">
        <f t="shared" si="1"/>
        <v>-16523.760000000002</v>
      </c>
    </row>
    <row r="30" spans="1:16" x14ac:dyDescent="0.25">
      <c r="A30" s="38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7"/>
    </row>
    <row r="31" spans="1:16" x14ac:dyDescent="0.25">
      <c r="A31" s="38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7"/>
    </row>
    <row r="32" spans="1:16" x14ac:dyDescent="0.25">
      <c r="B32" s="3">
        <f>SUM(B2:B29)</f>
        <v>246376</v>
      </c>
      <c r="C32" s="3">
        <f t="shared" ref="C32:N32" si="2">SUM(C3:C29)</f>
        <v>-10872.420000000002</v>
      </c>
      <c r="D32" s="3">
        <f t="shared" si="2"/>
        <v>-1022.9399999999861</v>
      </c>
      <c r="E32" s="3">
        <f t="shared" si="2"/>
        <v>-8304.91</v>
      </c>
      <c r="F32" s="3">
        <f t="shared" si="2"/>
        <v>12144.060000000016</v>
      </c>
      <c r="G32" s="3">
        <f t="shared" si="2"/>
        <v>36484</v>
      </c>
      <c r="H32" s="3">
        <f t="shared" si="2"/>
        <v>-544.92000000000178</v>
      </c>
      <c r="I32" s="3">
        <f t="shared" si="2"/>
        <v>41231.879999999997</v>
      </c>
      <c r="J32" s="3">
        <f t="shared" si="2"/>
        <v>34689.199999999997</v>
      </c>
      <c r="K32" s="3">
        <f t="shared" si="2"/>
        <v>27142.660000000003</v>
      </c>
      <c r="L32" s="3">
        <f t="shared" si="2"/>
        <v>31597.620000000003</v>
      </c>
      <c r="M32" s="3">
        <f t="shared" si="2"/>
        <v>-241384.09</v>
      </c>
      <c r="N32" s="3">
        <f t="shared" si="2"/>
        <v>255329.50000000003</v>
      </c>
      <c r="O32" s="97">
        <f>SUM(O2:O29)</f>
        <v>559157.31999999995</v>
      </c>
      <c r="P32" s="97">
        <f>SUM(P2:P29)</f>
        <v>-136291.68000000005</v>
      </c>
    </row>
    <row r="34" spans="2:16" x14ac:dyDescent="0.25">
      <c r="B34" s="3">
        <f>SUM(B2:B29)</f>
        <v>246376</v>
      </c>
      <c r="C34" s="3">
        <f t="shared" ref="C34:N34" si="3">SUM(C2:C29)</f>
        <v>-10872.420000000002</v>
      </c>
      <c r="D34" s="3">
        <f t="shared" si="3"/>
        <v>-1022.9399999999861</v>
      </c>
      <c r="E34" s="3">
        <f t="shared" si="3"/>
        <v>-8304.91</v>
      </c>
      <c r="F34" s="3">
        <f t="shared" si="3"/>
        <v>12144.060000000016</v>
      </c>
      <c r="G34" s="3">
        <f t="shared" si="3"/>
        <v>36484</v>
      </c>
      <c r="H34" s="3">
        <f t="shared" si="3"/>
        <v>-544.92000000000178</v>
      </c>
      <c r="I34" s="3">
        <f t="shared" si="3"/>
        <v>41231.879999999997</v>
      </c>
      <c r="J34" s="3">
        <f t="shared" si="3"/>
        <v>34689.199999999997</v>
      </c>
      <c r="K34" s="3">
        <f t="shared" si="3"/>
        <v>27142.660000000003</v>
      </c>
      <c r="L34" s="3">
        <f t="shared" si="3"/>
        <v>31597.620000000003</v>
      </c>
      <c r="M34" s="3">
        <f t="shared" si="3"/>
        <v>-241384.09</v>
      </c>
      <c r="N34" s="3">
        <f t="shared" si="3"/>
        <v>255329.50000000003</v>
      </c>
      <c r="O34" s="100">
        <f>SUM(B34:N34)</f>
        <v>422865.64000000013</v>
      </c>
      <c r="P34" s="100"/>
    </row>
    <row r="36" spans="2:16" x14ac:dyDescent="0.25">
      <c r="O36" s="100">
        <f>+O32+P32</f>
        <v>422865.6399999999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" sqref="B2"/>
    </sheetView>
  </sheetViews>
  <sheetFormatPr baseColWidth="10" defaultRowHeight="15" outlineLevelRow="2" x14ac:dyDescent="0.25"/>
  <cols>
    <col min="1" max="1" width="25.42578125" customWidth="1"/>
    <col min="2" max="14" width="10.85546875" bestFit="1" customWidth="1"/>
    <col min="15" max="15" width="11.7109375" bestFit="1" customWidth="1"/>
  </cols>
  <sheetData>
    <row r="1" spans="1:14" x14ac:dyDescent="0.25">
      <c r="A1" s="42" t="s">
        <v>77</v>
      </c>
      <c r="B1" s="48">
        <v>42705</v>
      </c>
      <c r="C1" s="48">
        <v>42736</v>
      </c>
      <c r="D1" s="48">
        <v>42767</v>
      </c>
      <c r="E1" s="48">
        <v>42795</v>
      </c>
      <c r="F1" s="48">
        <v>42826</v>
      </c>
      <c r="G1" s="48">
        <v>42856</v>
      </c>
      <c r="H1" s="48">
        <v>42887</v>
      </c>
      <c r="I1" s="48">
        <v>42917</v>
      </c>
      <c r="J1" s="48">
        <v>42948</v>
      </c>
      <c r="K1" s="48">
        <v>42979</v>
      </c>
      <c r="L1" s="48">
        <v>43009</v>
      </c>
      <c r="M1" s="48">
        <v>43040</v>
      </c>
      <c r="N1" s="48">
        <v>43070</v>
      </c>
    </row>
    <row r="2" spans="1:14" outlineLevel="2" x14ac:dyDescent="0.25">
      <c r="A2" s="38" t="s">
        <v>76</v>
      </c>
      <c r="B2" s="2">
        <v>246376</v>
      </c>
    </row>
    <row r="3" spans="1:14" outlineLevel="2" x14ac:dyDescent="0.25">
      <c r="A3" s="38" t="s">
        <v>76</v>
      </c>
      <c r="C3" s="50">
        <v>-103455</v>
      </c>
      <c r="D3" s="50">
        <v>-89661</v>
      </c>
      <c r="E3" s="50">
        <v>-86394</v>
      </c>
      <c r="F3" s="50">
        <v>-100793</v>
      </c>
      <c r="G3" s="50">
        <v>-58080</v>
      </c>
      <c r="H3" s="50">
        <v>-121968</v>
      </c>
      <c r="I3" s="50">
        <v>-117067.5</v>
      </c>
      <c r="J3" s="50">
        <v>-121605</v>
      </c>
      <c r="K3" s="50">
        <v>-133584</v>
      </c>
      <c r="L3" s="50">
        <v>-133584</v>
      </c>
      <c r="M3" s="50">
        <v>-161226.45000000001</v>
      </c>
      <c r="N3" s="56">
        <v>0</v>
      </c>
    </row>
    <row r="4" spans="1:14" outlineLevel="2" x14ac:dyDescent="0.25">
      <c r="A4" s="38" t="s">
        <v>76</v>
      </c>
      <c r="C4" s="3">
        <v>172562.94</v>
      </c>
      <c r="D4" s="3">
        <v>152699.58000000002</v>
      </c>
      <c r="E4" s="3">
        <v>138662.37</v>
      </c>
      <c r="F4" s="3">
        <v>178835.58000000002</v>
      </c>
      <c r="G4" s="3">
        <v>163350</v>
      </c>
      <c r="H4" s="3">
        <v>200332.44</v>
      </c>
      <c r="I4" s="3">
        <v>230388.84</v>
      </c>
      <c r="J4" s="3">
        <v>233481.60000000001</v>
      </c>
      <c r="K4" s="3">
        <v>238948.38</v>
      </c>
      <c r="L4" s="3">
        <v>244959.66</v>
      </c>
      <c r="M4" s="57">
        <v>0</v>
      </c>
      <c r="N4" s="3">
        <v>298908.71999999997</v>
      </c>
    </row>
    <row r="5" spans="1:14" outlineLevel="2" x14ac:dyDescent="0.25">
      <c r="A5" s="38" t="s">
        <v>76</v>
      </c>
      <c r="C5" s="3">
        <v>-9680</v>
      </c>
      <c r="D5" s="3">
        <v>-9680</v>
      </c>
      <c r="E5" s="3">
        <v>-9680</v>
      </c>
      <c r="F5" s="3">
        <v>-9680</v>
      </c>
      <c r="G5" s="3">
        <v>-9680</v>
      </c>
      <c r="H5" s="3">
        <v>-9680</v>
      </c>
      <c r="I5" s="3">
        <v>-10648</v>
      </c>
      <c r="J5" s="3">
        <v>-10648</v>
      </c>
      <c r="K5" s="3">
        <v>-10648</v>
      </c>
      <c r="L5" s="3">
        <v>-10648</v>
      </c>
      <c r="M5" s="3">
        <v>-10648</v>
      </c>
      <c r="N5" s="3">
        <v>-10648</v>
      </c>
    </row>
    <row r="6" spans="1:14" outlineLevel="2" x14ac:dyDescent="0.25">
      <c r="A6" s="38" t="s">
        <v>76</v>
      </c>
      <c r="C6" s="3">
        <v>-23940</v>
      </c>
      <c r="D6" s="3">
        <v>-23940</v>
      </c>
      <c r="E6" s="3">
        <v>-23940</v>
      </c>
      <c r="F6" s="3">
        <v>-23940</v>
      </c>
      <c r="G6" s="3">
        <v>-23940</v>
      </c>
      <c r="H6" s="3">
        <v>-35910</v>
      </c>
      <c r="I6" s="3">
        <v>-23940</v>
      </c>
      <c r="J6" s="3">
        <v>-27531</v>
      </c>
      <c r="K6" s="3">
        <v>-27531</v>
      </c>
      <c r="L6" s="3">
        <v>-27531</v>
      </c>
      <c r="M6" s="3">
        <v>-27531</v>
      </c>
      <c r="N6" s="57">
        <v>0</v>
      </c>
    </row>
    <row r="7" spans="1:14" outlineLevel="2" x14ac:dyDescent="0.25">
      <c r="A7" s="38" t="s">
        <v>76</v>
      </c>
      <c r="C7" s="3">
        <v>-2551</v>
      </c>
      <c r="D7" s="3">
        <v>-2350</v>
      </c>
      <c r="E7" s="3">
        <v>-2668</v>
      </c>
      <c r="F7" s="3">
        <v>-2888</v>
      </c>
      <c r="G7" s="3">
        <v>-2853</v>
      </c>
      <c r="H7" s="3">
        <v>-2543</v>
      </c>
      <c r="I7" s="3">
        <v>-2690</v>
      </c>
      <c r="J7" s="3">
        <v>-3027</v>
      </c>
      <c r="K7" s="3">
        <v>-3101</v>
      </c>
      <c r="L7" s="3">
        <v>-3185</v>
      </c>
      <c r="M7" s="3">
        <v>-3224</v>
      </c>
      <c r="N7" s="57">
        <v>0</v>
      </c>
    </row>
    <row r="8" spans="1:14" outlineLevel="2" x14ac:dyDescent="0.25">
      <c r="A8" s="38" t="s">
        <v>76</v>
      </c>
      <c r="C8" s="3">
        <v>-15353.69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</row>
    <row r="9" spans="1:14" outlineLevel="2" x14ac:dyDescent="0.25">
      <c r="A9" s="38" t="s">
        <v>76</v>
      </c>
      <c r="C9" s="3">
        <v>-3953.0699999999997</v>
      </c>
      <c r="D9" s="3">
        <v>-2435.73</v>
      </c>
      <c r="E9" s="3">
        <v>-2259.0700000000002</v>
      </c>
      <c r="F9" s="3">
        <v>-1899.7</v>
      </c>
      <c r="G9" s="3">
        <v>-1604.46</v>
      </c>
      <c r="H9" s="3">
        <v>-1725.46</v>
      </c>
      <c r="I9" s="3">
        <v>-1505.24</v>
      </c>
      <c r="J9" s="3">
        <v>-1579.05</v>
      </c>
      <c r="K9" s="3">
        <v>-1398.76</v>
      </c>
      <c r="L9" s="3">
        <v>-1666.17</v>
      </c>
      <c r="M9" s="3">
        <v>-1533.07</v>
      </c>
      <c r="N9" s="3">
        <v>-2041.27</v>
      </c>
    </row>
    <row r="10" spans="1:14" outlineLevel="2" x14ac:dyDescent="0.25">
      <c r="A10" s="38" t="s">
        <v>76</v>
      </c>
      <c r="C10" s="3">
        <v>-1996.5</v>
      </c>
      <c r="D10" s="3">
        <v>-1516.13</v>
      </c>
      <c r="E10" s="3">
        <v>-1867.03</v>
      </c>
      <c r="F10" s="3">
        <v>-2399.4299999999998</v>
      </c>
      <c r="G10" s="3">
        <v>-1277.76</v>
      </c>
      <c r="H10" s="3">
        <v>-4060.76</v>
      </c>
      <c r="I10" s="3">
        <v>-1664.96</v>
      </c>
      <c r="J10" s="3">
        <v>-2675.31</v>
      </c>
      <c r="K10" s="3">
        <v>-2585.77</v>
      </c>
      <c r="L10" s="3">
        <v>-2710.4</v>
      </c>
      <c r="M10" s="3">
        <v>-2971.76</v>
      </c>
      <c r="N10" s="3">
        <v>-2784.21</v>
      </c>
    </row>
    <row r="11" spans="1:14" outlineLevel="2" x14ac:dyDescent="0.25">
      <c r="A11" s="38" t="s">
        <v>76</v>
      </c>
      <c r="C11" s="3">
        <v>-2420</v>
      </c>
      <c r="D11" s="3">
        <v>-2420</v>
      </c>
      <c r="E11" s="3">
        <v>-2420</v>
      </c>
      <c r="F11" s="3">
        <v>-2420</v>
      </c>
      <c r="G11" s="3">
        <v>-2420</v>
      </c>
      <c r="H11" s="3">
        <v>-2420</v>
      </c>
      <c r="I11" s="3">
        <v>-2420</v>
      </c>
      <c r="J11" s="3">
        <v>-2420</v>
      </c>
      <c r="K11" s="3">
        <v>-2420</v>
      </c>
      <c r="L11" s="3">
        <v>-2420</v>
      </c>
      <c r="M11" s="3">
        <v>-3025</v>
      </c>
      <c r="N11" s="57">
        <v>0</v>
      </c>
    </row>
    <row r="12" spans="1:14" outlineLevel="2" x14ac:dyDescent="0.25">
      <c r="A12" s="38" t="s">
        <v>76</v>
      </c>
      <c r="C12" s="3">
        <v>-4634.42</v>
      </c>
      <c r="D12" s="3">
        <v>-4174.9400000000005</v>
      </c>
      <c r="E12" s="3">
        <v>-3869.91</v>
      </c>
      <c r="F12" s="3">
        <v>-4889.9399999999996</v>
      </c>
      <c r="G12" s="3">
        <v>-4509</v>
      </c>
      <c r="H12" s="3">
        <v>-5438.92</v>
      </c>
      <c r="I12" s="3">
        <v>-6187.12</v>
      </c>
      <c r="J12" s="3">
        <v>-6266.8</v>
      </c>
      <c r="K12" s="3">
        <v>-6407.34</v>
      </c>
      <c r="L12" s="3">
        <v>-6559.38</v>
      </c>
      <c r="M12" s="3">
        <v>-6919.83</v>
      </c>
      <c r="N12" s="57"/>
    </row>
    <row r="13" spans="1:14" outlineLevel="2" x14ac:dyDescent="0.25">
      <c r="A13" s="38" t="s">
        <v>76</v>
      </c>
      <c r="C13" s="3">
        <v>-2238.5</v>
      </c>
      <c r="D13" s="3">
        <v>-2843.5</v>
      </c>
      <c r="E13" s="3">
        <v>-2421.21</v>
      </c>
      <c r="F13" s="3">
        <v>-2363.13</v>
      </c>
      <c r="G13" s="3">
        <v>-2622.07</v>
      </c>
      <c r="H13" s="3">
        <v>-2843.5</v>
      </c>
      <c r="I13" s="3">
        <v>-2250.6</v>
      </c>
      <c r="J13" s="3">
        <v>-2946.35</v>
      </c>
      <c r="K13" s="3">
        <v>-3106.0699999999997</v>
      </c>
      <c r="L13" s="3">
        <v>-3185.93</v>
      </c>
      <c r="M13" s="3">
        <v>-3334.76</v>
      </c>
      <c r="N13" s="3">
        <v>-3496.9</v>
      </c>
    </row>
    <row r="14" spans="1:14" outlineLevel="2" x14ac:dyDescent="0.25">
      <c r="A14" s="38" t="s">
        <v>76</v>
      </c>
      <c r="C14" s="3">
        <v>-1815</v>
      </c>
      <c r="D14" s="3">
        <v>-1815</v>
      </c>
      <c r="E14" s="3">
        <v>-1815</v>
      </c>
      <c r="F14" s="3">
        <v>-1815</v>
      </c>
      <c r="G14" s="3">
        <v>-1815</v>
      </c>
      <c r="H14" s="3">
        <v>-1815</v>
      </c>
      <c r="I14" s="3">
        <v>-2057</v>
      </c>
      <c r="J14" s="3">
        <v>-2057</v>
      </c>
      <c r="K14" s="3">
        <v>-2057</v>
      </c>
      <c r="L14" s="3">
        <v>-2057</v>
      </c>
      <c r="M14" s="3">
        <v>-2057</v>
      </c>
      <c r="N14" s="3">
        <v>-2057</v>
      </c>
    </row>
    <row r="15" spans="1:14" outlineLevel="2" x14ac:dyDescent="0.25">
      <c r="A15" s="38" t="s">
        <v>76</v>
      </c>
      <c r="C15" s="3">
        <v>-181.5</v>
      </c>
      <c r="D15" s="3">
        <v>-181.5</v>
      </c>
      <c r="E15" s="3">
        <v>-181.5</v>
      </c>
      <c r="F15" s="3">
        <v>-181.5</v>
      </c>
      <c r="G15" s="3">
        <v>-181.5</v>
      </c>
      <c r="H15" s="3">
        <v>-181.5</v>
      </c>
      <c r="I15" s="3">
        <v>-181.5</v>
      </c>
      <c r="J15" s="3">
        <v>-181.5</v>
      </c>
      <c r="K15" s="3">
        <v>-217.8</v>
      </c>
      <c r="L15" s="3">
        <v>-217.8</v>
      </c>
      <c r="M15" s="3">
        <v>-217.8</v>
      </c>
      <c r="N15" s="3">
        <v>-217.8</v>
      </c>
    </row>
    <row r="16" spans="1:14" outlineLevel="2" x14ac:dyDescent="0.25">
      <c r="A16" s="38" t="s">
        <v>76</v>
      </c>
      <c r="C16" s="3">
        <v>-5445</v>
      </c>
      <c r="D16" s="3">
        <v>-5445</v>
      </c>
      <c r="E16" s="3">
        <v>-3630</v>
      </c>
      <c r="F16" s="3">
        <v>-3025</v>
      </c>
      <c r="G16" s="3">
        <v>-2420</v>
      </c>
      <c r="H16" s="3">
        <v>-1815</v>
      </c>
      <c r="I16" s="3">
        <v>-1815</v>
      </c>
      <c r="J16" s="3">
        <v>-1815</v>
      </c>
      <c r="K16" s="3">
        <v>-3630</v>
      </c>
      <c r="L16" s="3">
        <v>-3630</v>
      </c>
      <c r="M16" s="3">
        <v>-3630</v>
      </c>
      <c r="N16" s="3">
        <v>-3630</v>
      </c>
    </row>
    <row r="17" spans="1:14" outlineLevel="2" x14ac:dyDescent="0.25">
      <c r="A17" s="38" t="s">
        <v>76</v>
      </c>
      <c r="C17" s="3">
        <v>-1518.55</v>
      </c>
      <c r="D17" s="3">
        <v>-1076.9000000000001</v>
      </c>
      <c r="E17" s="3">
        <v>-1165.23</v>
      </c>
      <c r="F17" s="3">
        <v>-1185.8</v>
      </c>
      <c r="G17" s="3">
        <v>-1228.1500000000001</v>
      </c>
      <c r="H17" s="3">
        <v>-1373.35</v>
      </c>
      <c r="I17" s="3">
        <v>-1179.75</v>
      </c>
      <c r="J17" s="3">
        <v>-1022.45</v>
      </c>
      <c r="K17" s="3">
        <v>-1640.76</v>
      </c>
      <c r="L17" s="3">
        <v>-1504.03</v>
      </c>
      <c r="M17" s="3">
        <v>-1737.56</v>
      </c>
      <c r="N17" s="3">
        <v>-1891.23</v>
      </c>
    </row>
    <row r="18" spans="1:14" s="45" customFormat="1" outlineLevel="1" x14ac:dyDescent="0.25">
      <c r="A18" s="101" t="s">
        <v>251</v>
      </c>
      <c r="B18" s="45">
        <f t="shared" ref="B18:N18" si="0">SUBTOTAL(9,B2:B17)</f>
        <v>246376</v>
      </c>
      <c r="C18" s="61">
        <f t="shared" si="0"/>
        <v>-6619.29</v>
      </c>
      <c r="D18" s="61">
        <f t="shared" si="0"/>
        <v>5159.8800000000138</v>
      </c>
      <c r="E18" s="61">
        <f t="shared" si="0"/>
        <v>-3648.5800000000049</v>
      </c>
      <c r="F18" s="61">
        <f t="shared" si="0"/>
        <v>21355.08000000002</v>
      </c>
      <c r="G18" s="61">
        <f t="shared" si="0"/>
        <v>50719.06</v>
      </c>
      <c r="H18" s="61">
        <f t="shared" si="0"/>
        <v>8557.9500000000025</v>
      </c>
      <c r="I18" s="61">
        <f t="shared" si="0"/>
        <v>56782.169999999984</v>
      </c>
      <c r="J18" s="61">
        <f t="shared" si="0"/>
        <v>49707.140000000007</v>
      </c>
      <c r="K18" s="61">
        <f t="shared" si="0"/>
        <v>40620.880000000005</v>
      </c>
      <c r="L18" s="61">
        <f t="shared" si="0"/>
        <v>46060.950000000012</v>
      </c>
      <c r="M18" s="61">
        <f t="shared" si="0"/>
        <v>-228056.23</v>
      </c>
      <c r="N18" s="61">
        <f t="shared" si="0"/>
        <v>272142.30999999994</v>
      </c>
    </row>
    <row r="19" spans="1:14" outlineLevel="2" x14ac:dyDescent="0.25">
      <c r="A19" t="s">
        <v>75</v>
      </c>
      <c r="C19" s="55">
        <v>17955</v>
      </c>
      <c r="D19" s="55">
        <v>15561</v>
      </c>
      <c r="E19" s="55">
        <v>14994</v>
      </c>
      <c r="F19" s="55">
        <v>17493</v>
      </c>
      <c r="G19" s="55">
        <v>10080</v>
      </c>
      <c r="H19" s="55">
        <v>21168</v>
      </c>
      <c r="I19" s="55">
        <v>20317.5</v>
      </c>
      <c r="J19" s="55">
        <v>21105</v>
      </c>
      <c r="K19" s="55">
        <v>23184</v>
      </c>
      <c r="L19" s="55">
        <v>23184</v>
      </c>
      <c r="M19" s="55">
        <v>26649</v>
      </c>
      <c r="N19" s="55">
        <v>29893.5</v>
      </c>
    </row>
    <row r="20" spans="1:14" outlineLevel="2" x14ac:dyDescent="0.25">
      <c r="A20" t="s">
        <v>75</v>
      </c>
      <c r="C20" s="3">
        <v>1680</v>
      </c>
      <c r="D20" s="3">
        <v>1680</v>
      </c>
      <c r="E20" s="3">
        <v>1680</v>
      </c>
      <c r="F20" s="3">
        <v>1680</v>
      </c>
      <c r="G20" s="3">
        <v>1680</v>
      </c>
      <c r="H20" s="3">
        <v>1680</v>
      </c>
      <c r="I20" s="3">
        <v>1848</v>
      </c>
      <c r="J20" s="3">
        <v>1848</v>
      </c>
      <c r="K20" s="3">
        <v>1848</v>
      </c>
      <c r="L20" s="3">
        <v>1848</v>
      </c>
      <c r="M20" s="3">
        <v>1848</v>
      </c>
      <c r="N20" s="3">
        <v>1848</v>
      </c>
    </row>
    <row r="21" spans="1:14" outlineLevel="2" x14ac:dyDescent="0.25">
      <c r="A21" t="s">
        <v>75</v>
      </c>
      <c r="C21" s="3">
        <v>2664.69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</row>
    <row r="22" spans="1:14" outlineLevel="2" x14ac:dyDescent="0.25">
      <c r="A22" t="s">
        <v>75</v>
      </c>
      <c r="C22" s="3">
        <v>686.06999999999994</v>
      </c>
      <c r="D22" s="3">
        <v>422.72999999999996</v>
      </c>
      <c r="E22" s="3">
        <v>392.07</v>
      </c>
      <c r="F22" s="3">
        <v>329.7</v>
      </c>
      <c r="G22" s="3">
        <v>278.45999999999998</v>
      </c>
      <c r="H22" s="3">
        <v>299.45999999999998</v>
      </c>
      <c r="I22" s="3">
        <v>261.24</v>
      </c>
      <c r="J22" s="3">
        <v>274.05</v>
      </c>
      <c r="K22" s="3">
        <v>242.76</v>
      </c>
      <c r="L22" s="3">
        <v>289.17</v>
      </c>
      <c r="M22" s="3">
        <v>266.07</v>
      </c>
      <c r="N22" s="3">
        <v>354.27</v>
      </c>
    </row>
    <row r="23" spans="1:14" outlineLevel="2" x14ac:dyDescent="0.25">
      <c r="A23" t="s">
        <v>75</v>
      </c>
      <c r="C23" s="3">
        <v>346.5</v>
      </c>
      <c r="D23" s="3">
        <v>263.13</v>
      </c>
      <c r="E23" s="3">
        <v>324.02999999999997</v>
      </c>
      <c r="F23" s="3">
        <v>416.43</v>
      </c>
      <c r="G23" s="3">
        <v>221.76</v>
      </c>
      <c r="H23" s="3">
        <v>704.76</v>
      </c>
      <c r="I23" s="3">
        <v>288.95999999999998</v>
      </c>
      <c r="J23" s="3">
        <v>464.31</v>
      </c>
      <c r="K23" s="3">
        <v>448.77</v>
      </c>
      <c r="L23" s="3">
        <v>470.4</v>
      </c>
      <c r="M23" s="3">
        <v>515.76</v>
      </c>
      <c r="N23" s="3">
        <v>483.21</v>
      </c>
    </row>
    <row r="24" spans="1:14" outlineLevel="2" x14ac:dyDescent="0.25">
      <c r="A24" t="s">
        <v>75</v>
      </c>
      <c r="C24" s="3">
        <v>420</v>
      </c>
      <c r="D24" s="3">
        <v>420</v>
      </c>
      <c r="E24" s="3">
        <v>420</v>
      </c>
      <c r="F24" s="3">
        <v>420</v>
      </c>
      <c r="G24" s="3">
        <v>420</v>
      </c>
      <c r="H24" s="3">
        <v>420</v>
      </c>
      <c r="I24" s="3">
        <v>420</v>
      </c>
      <c r="J24" s="3">
        <v>420</v>
      </c>
      <c r="K24" s="3">
        <v>420</v>
      </c>
      <c r="L24" s="3">
        <v>420</v>
      </c>
      <c r="M24" s="3">
        <v>525</v>
      </c>
      <c r="N24" s="3">
        <v>525</v>
      </c>
    </row>
    <row r="25" spans="1:14" outlineLevel="2" x14ac:dyDescent="0.25">
      <c r="A25" t="s">
        <v>75</v>
      </c>
      <c r="C25" s="3">
        <v>388.5</v>
      </c>
      <c r="D25" s="3">
        <v>493.5</v>
      </c>
      <c r="E25" s="3">
        <v>420.21</v>
      </c>
      <c r="F25" s="3">
        <v>410.13</v>
      </c>
      <c r="G25" s="3">
        <v>455.07</v>
      </c>
      <c r="H25" s="3">
        <v>493.5</v>
      </c>
      <c r="I25" s="3">
        <v>390.59999999999997</v>
      </c>
      <c r="J25" s="3">
        <v>511.34999999999997</v>
      </c>
      <c r="K25" s="3">
        <v>539.06999999999994</v>
      </c>
      <c r="L25" s="3">
        <v>552.92999999999995</v>
      </c>
      <c r="M25" s="3">
        <v>578.76</v>
      </c>
      <c r="N25" s="3">
        <v>606.9</v>
      </c>
    </row>
    <row r="26" spans="1:14" outlineLevel="2" x14ac:dyDescent="0.25">
      <c r="A26" t="s">
        <v>75</v>
      </c>
      <c r="C26" s="3">
        <v>315</v>
      </c>
      <c r="D26" s="3">
        <v>315</v>
      </c>
      <c r="E26" s="3">
        <v>315</v>
      </c>
      <c r="F26" s="3">
        <v>315</v>
      </c>
      <c r="G26" s="3">
        <v>315</v>
      </c>
      <c r="H26" s="3">
        <v>315</v>
      </c>
      <c r="I26" s="3">
        <v>357</v>
      </c>
      <c r="J26" s="3">
        <v>357</v>
      </c>
      <c r="K26" s="3">
        <v>357</v>
      </c>
      <c r="L26" s="3">
        <v>357</v>
      </c>
      <c r="M26" s="3">
        <v>357</v>
      </c>
      <c r="N26" s="3">
        <v>357</v>
      </c>
    </row>
    <row r="27" spans="1:14" outlineLevel="2" x14ac:dyDescent="0.25">
      <c r="A27" t="s">
        <v>75</v>
      </c>
      <c r="C27" s="3">
        <v>31.5</v>
      </c>
      <c r="D27" s="3">
        <v>31.5</v>
      </c>
      <c r="E27" s="3">
        <v>31.5</v>
      </c>
      <c r="F27" s="3">
        <v>31.5</v>
      </c>
      <c r="G27" s="3">
        <v>31.5</v>
      </c>
      <c r="H27" s="3">
        <v>31.5</v>
      </c>
      <c r="I27" s="3">
        <v>31.5</v>
      </c>
      <c r="J27" s="3">
        <v>31.5</v>
      </c>
      <c r="K27" s="3">
        <v>37.799999999999997</v>
      </c>
      <c r="L27" s="3">
        <v>37.799999999999997</v>
      </c>
      <c r="M27" s="3">
        <v>37.799999999999997</v>
      </c>
      <c r="N27" s="3">
        <v>37.799999999999997</v>
      </c>
    </row>
    <row r="28" spans="1:14" outlineLevel="2" x14ac:dyDescent="0.25">
      <c r="A28" t="s">
        <v>75</v>
      </c>
      <c r="C28" s="3">
        <v>945</v>
      </c>
      <c r="D28" s="3">
        <v>945</v>
      </c>
      <c r="E28" s="3">
        <v>630</v>
      </c>
      <c r="F28" s="3">
        <v>525</v>
      </c>
      <c r="G28" s="3">
        <v>420</v>
      </c>
      <c r="H28" s="3">
        <v>315</v>
      </c>
      <c r="I28" s="3">
        <v>315</v>
      </c>
      <c r="J28" s="3">
        <v>315</v>
      </c>
      <c r="K28" s="3">
        <v>630</v>
      </c>
      <c r="L28" s="3">
        <v>630</v>
      </c>
      <c r="M28" s="3">
        <v>630</v>
      </c>
      <c r="N28" s="3">
        <v>630</v>
      </c>
    </row>
    <row r="29" spans="1:14" outlineLevel="2" x14ac:dyDescent="0.25">
      <c r="A29" t="s">
        <v>75</v>
      </c>
      <c r="C29" s="3">
        <v>263.55</v>
      </c>
      <c r="D29" s="3">
        <v>186.9</v>
      </c>
      <c r="E29" s="3">
        <v>202.23</v>
      </c>
      <c r="F29" s="3">
        <v>205.79999999999998</v>
      </c>
      <c r="G29" s="3">
        <v>213.15</v>
      </c>
      <c r="H29" s="3">
        <v>238.35</v>
      </c>
      <c r="I29" s="3">
        <v>204.75</v>
      </c>
      <c r="J29" s="3">
        <v>177.45</v>
      </c>
      <c r="K29" s="3">
        <v>284.76</v>
      </c>
      <c r="L29" s="3">
        <v>261.02999999999997</v>
      </c>
      <c r="M29" s="3">
        <v>301.56</v>
      </c>
      <c r="N29" s="3">
        <v>328.22999999999996</v>
      </c>
    </row>
    <row r="30" spans="1:14" s="45" customFormat="1" outlineLevel="1" x14ac:dyDescent="0.25">
      <c r="A30" s="45" t="s">
        <v>252</v>
      </c>
      <c r="B30" s="45">
        <f t="shared" ref="B30:N30" si="1">SUBTOTAL(9,B19:B29)</f>
        <v>0</v>
      </c>
      <c r="C30" s="61">
        <f t="shared" si="1"/>
        <v>25695.809999999998</v>
      </c>
      <c r="D30" s="61">
        <f t="shared" si="1"/>
        <v>20318.760000000002</v>
      </c>
      <c r="E30" s="61">
        <f t="shared" si="1"/>
        <v>19409.039999999997</v>
      </c>
      <c r="F30" s="61">
        <f t="shared" si="1"/>
        <v>21826.560000000001</v>
      </c>
      <c r="G30" s="61">
        <f t="shared" si="1"/>
        <v>14114.939999999999</v>
      </c>
      <c r="H30" s="61">
        <f t="shared" si="1"/>
        <v>25665.569999999996</v>
      </c>
      <c r="I30" s="61">
        <f t="shared" si="1"/>
        <v>24434.55</v>
      </c>
      <c r="J30" s="61">
        <f t="shared" si="1"/>
        <v>25503.66</v>
      </c>
      <c r="K30" s="61">
        <f t="shared" si="1"/>
        <v>27992.159999999996</v>
      </c>
      <c r="L30" s="61">
        <f t="shared" si="1"/>
        <v>28050.329999999998</v>
      </c>
      <c r="M30" s="61">
        <f t="shared" si="1"/>
        <v>31708.949999999997</v>
      </c>
      <c r="N30" s="61">
        <f t="shared" si="1"/>
        <v>35063.910000000003</v>
      </c>
    </row>
    <row r="31" spans="1:14" outlineLevel="2" x14ac:dyDescent="0.25">
      <c r="A31" t="s">
        <v>78</v>
      </c>
      <c r="C31" s="3">
        <v>-29948.94</v>
      </c>
      <c r="D31" s="3">
        <v>-26501.58</v>
      </c>
      <c r="E31" s="3">
        <v>-24065.37</v>
      </c>
      <c r="F31" s="3">
        <v>-31037.58</v>
      </c>
      <c r="G31" s="3">
        <v>-28350</v>
      </c>
      <c r="H31" s="3">
        <v>-34768.44</v>
      </c>
      <c r="I31" s="3">
        <v>-39984.839999999997</v>
      </c>
      <c r="J31" s="3">
        <v>-40521.599999999999</v>
      </c>
      <c r="K31" s="3">
        <v>-41470.379999999997</v>
      </c>
      <c r="L31" s="3">
        <v>-42513.66</v>
      </c>
      <c r="M31" s="3">
        <v>-45036.81</v>
      </c>
      <c r="N31" s="3">
        <v>-51876.72</v>
      </c>
    </row>
    <row r="32" spans="1:14" outlineLevel="1" x14ac:dyDescent="0.25">
      <c r="A32" s="45" t="s">
        <v>253</v>
      </c>
      <c r="B32">
        <f t="shared" ref="B32:N32" si="2">SUBTOTAL(9,B31:B31)</f>
        <v>0</v>
      </c>
      <c r="C32" s="3">
        <f t="shared" si="2"/>
        <v>-29948.94</v>
      </c>
      <c r="D32" s="3">
        <f t="shared" si="2"/>
        <v>-26501.58</v>
      </c>
      <c r="E32" s="3">
        <f t="shared" si="2"/>
        <v>-24065.37</v>
      </c>
      <c r="F32" s="3">
        <f t="shared" si="2"/>
        <v>-31037.58</v>
      </c>
      <c r="G32" s="3">
        <f t="shared" si="2"/>
        <v>-28350</v>
      </c>
      <c r="H32" s="3">
        <f t="shared" si="2"/>
        <v>-34768.44</v>
      </c>
      <c r="I32" s="3">
        <f t="shared" si="2"/>
        <v>-39984.839999999997</v>
      </c>
      <c r="J32" s="3">
        <f t="shared" si="2"/>
        <v>-40521.599999999999</v>
      </c>
      <c r="K32" s="3">
        <f t="shared" si="2"/>
        <v>-41470.379999999997</v>
      </c>
      <c r="L32" s="3">
        <f t="shared" si="2"/>
        <v>-42513.66</v>
      </c>
      <c r="M32" s="3">
        <f t="shared" si="2"/>
        <v>-45036.81</v>
      </c>
      <c r="N32" s="3">
        <f t="shared" si="2"/>
        <v>-51876.72</v>
      </c>
    </row>
    <row r="33" spans="1:15" x14ac:dyDescent="0.25">
      <c r="A33" s="45" t="s">
        <v>254</v>
      </c>
      <c r="B33">
        <f t="shared" ref="B33:N33" si="3">SUBTOTAL(9,B2:B31)</f>
        <v>246376</v>
      </c>
      <c r="C33" s="3">
        <f t="shared" si="3"/>
        <v>-10872.419999999998</v>
      </c>
      <c r="D33" s="3">
        <f t="shared" si="3"/>
        <v>-1022.9399999999878</v>
      </c>
      <c r="E33" s="3">
        <f t="shared" si="3"/>
        <v>-8304.9100000000053</v>
      </c>
      <c r="F33" s="3">
        <f t="shared" si="3"/>
        <v>12144.060000000012</v>
      </c>
      <c r="G33" s="3">
        <f t="shared" si="3"/>
        <v>36484</v>
      </c>
      <c r="H33" s="3">
        <f t="shared" si="3"/>
        <v>-544.92000000000553</v>
      </c>
      <c r="I33" s="3">
        <f t="shared" si="3"/>
        <v>41231.880000000005</v>
      </c>
      <c r="J33" s="3">
        <f t="shared" si="3"/>
        <v>34689.200000000019</v>
      </c>
      <c r="K33" s="3">
        <f t="shared" si="3"/>
        <v>27142.660000000011</v>
      </c>
      <c r="L33" s="3">
        <f t="shared" si="3"/>
        <v>31597.619999999995</v>
      </c>
      <c r="M33" s="3">
        <f t="shared" si="3"/>
        <v>-241384.09</v>
      </c>
      <c r="N33" s="3">
        <f t="shared" si="3"/>
        <v>255329.49999999997</v>
      </c>
    </row>
    <row r="36" spans="1:15" x14ac:dyDescent="0.25">
      <c r="A36" t="s">
        <v>255</v>
      </c>
      <c r="B36" s="3">
        <f>+B18+B30+B32</f>
        <v>246376</v>
      </c>
      <c r="C36" s="3">
        <f t="shared" ref="C36:N36" si="4">+C18+C30+C32</f>
        <v>-10872.420000000002</v>
      </c>
      <c r="D36" s="3">
        <f t="shared" si="4"/>
        <v>-1022.9399999999878</v>
      </c>
      <c r="E36" s="3">
        <f t="shared" si="4"/>
        <v>-8304.9100000000071</v>
      </c>
      <c r="F36" s="3">
        <f t="shared" si="4"/>
        <v>12144.060000000019</v>
      </c>
      <c r="G36" s="3">
        <f t="shared" si="4"/>
        <v>36484</v>
      </c>
      <c r="H36" s="3">
        <f t="shared" si="4"/>
        <v>-544.92000000000553</v>
      </c>
      <c r="I36" s="3">
        <f t="shared" si="4"/>
        <v>41231.87999999999</v>
      </c>
      <c r="J36" s="3">
        <f t="shared" si="4"/>
        <v>34689.200000000004</v>
      </c>
      <c r="K36" s="3">
        <f t="shared" si="4"/>
        <v>27142.660000000011</v>
      </c>
      <c r="L36" s="3">
        <f t="shared" si="4"/>
        <v>31597.62000000001</v>
      </c>
      <c r="M36" s="3">
        <f t="shared" si="4"/>
        <v>-241384.09000000003</v>
      </c>
      <c r="N36" s="3">
        <f t="shared" si="4"/>
        <v>255329.49999999997</v>
      </c>
      <c r="O36" s="61">
        <f>SUM(B36:N36)</f>
        <v>422865.64</v>
      </c>
    </row>
    <row r="37" spans="1:15" x14ac:dyDescent="0.25">
      <c r="B37">
        <v>246376</v>
      </c>
      <c r="C37">
        <v>-10872.420000000002</v>
      </c>
      <c r="D37">
        <v>-1022.9399999999878</v>
      </c>
      <c r="E37">
        <v>-8304.9100000000071</v>
      </c>
      <c r="F37">
        <v>12144.060000000019</v>
      </c>
      <c r="G37">
        <v>36484</v>
      </c>
      <c r="H37">
        <v>-544.92000000000553</v>
      </c>
      <c r="I37">
        <v>41231.87999999999</v>
      </c>
      <c r="J37">
        <v>34689.200000000004</v>
      </c>
      <c r="K37">
        <v>27142.660000000011</v>
      </c>
      <c r="L37">
        <v>31597.62000000001</v>
      </c>
      <c r="M37">
        <f>-241384.09+7677.45</f>
        <v>-233706.63999999998</v>
      </c>
      <c r="N37">
        <v>255329.49999999997</v>
      </c>
      <c r="O37" s="61">
        <f>SUM(B37:N37)</f>
        <v>430543.09000000008</v>
      </c>
    </row>
    <row r="50" spans="2:6" x14ac:dyDescent="0.25">
      <c r="C50" t="s">
        <v>256</v>
      </c>
    </row>
    <row r="51" spans="2:6" x14ac:dyDescent="0.25">
      <c r="B51" s="66">
        <v>42705</v>
      </c>
      <c r="C51" s="4" t="s">
        <v>6</v>
      </c>
      <c r="D51" s="3">
        <v>246376</v>
      </c>
      <c r="E51" s="76">
        <v>0.25</v>
      </c>
      <c r="F51" s="76">
        <f>-D51*E51</f>
        <v>-61594</v>
      </c>
    </row>
    <row r="52" spans="2:6" x14ac:dyDescent="0.25">
      <c r="B52" s="66">
        <v>42736</v>
      </c>
      <c r="C52" s="4" t="s">
        <v>6</v>
      </c>
      <c r="D52" s="3">
        <v>-10872.420000000002</v>
      </c>
      <c r="E52" s="76">
        <v>0.23</v>
      </c>
      <c r="F52" s="76">
        <f t="shared" ref="F52:F63" si="5">-D52*E52</f>
        <v>2500.6566000000007</v>
      </c>
    </row>
    <row r="53" spans="2:6" x14ac:dyDescent="0.25">
      <c r="B53" s="66">
        <v>42767</v>
      </c>
      <c r="C53" s="4" t="s">
        <v>6</v>
      </c>
      <c r="D53" s="3">
        <v>-1022.9399999999878</v>
      </c>
      <c r="E53" s="76">
        <v>0.2</v>
      </c>
      <c r="F53" s="76">
        <f t="shared" si="5"/>
        <v>204.58799999999758</v>
      </c>
    </row>
    <row r="54" spans="2:6" x14ac:dyDescent="0.25">
      <c r="B54" s="66">
        <v>42795</v>
      </c>
      <c r="C54" s="4" t="s">
        <v>6</v>
      </c>
      <c r="D54" s="3">
        <v>-8304.9100000000071</v>
      </c>
      <c r="E54" s="76">
        <v>0.18</v>
      </c>
      <c r="F54" s="76">
        <f t="shared" si="5"/>
        <v>1494.8838000000012</v>
      </c>
    </row>
    <row r="55" spans="2:6" x14ac:dyDescent="0.25">
      <c r="B55" s="66">
        <v>42826</v>
      </c>
      <c r="C55" s="4" t="s">
        <v>6</v>
      </c>
      <c r="D55" s="3">
        <v>12144.060000000019</v>
      </c>
      <c r="E55" s="76">
        <v>0.15</v>
      </c>
      <c r="F55" s="76">
        <f t="shared" si="5"/>
        <v>-1821.6090000000029</v>
      </c>
    </row>
    <row r="56" spans="2:6" x14ac:dyDescent="0.25">
      <c r="B56" s="66">
        <v>42856</v>
      </c>
      <c r="C56" s="4" t="s">
        <v>6</v>
      </c>
      <c r="D56" s="3">
        <v>36484</v>
      </c>
      <c r="E56" s="76">
        <v>0.13</v>
      </c>
      <c r="F56" s="76">
        <f t="shared" si="5"/>
        <v>-4742.92</v>
      </c>
    </row>
    <row r="57" spans="2:6" x14ac:dyDescent="0.25">
      <c r="B57" s="66">
        <v>42887</v>
      </c>
      <c r="C57" s="4" t="s">
        <v>6</v>
      </c>
      <c r="D57" s="3">
        <v>-544.92000000000553</v>
      </c>
      <c r="E57" s="76">
        <v>0.12</v>
      </c>
      <c r="F57" s="76">
        <f t="shared" si="5"/>
        <v>65.390400000000668</v>
      </c>
    </row>
    <row r="58" spans="2:6" x14ac:dyDescent="0.25">
      <c r="B58" s="66">
        <v>42917</v>
      </c>
      <c r="C58" s="4" t="s">
        <v>6</v>
      </c>
      <c r="D58" s="3">
        <v>41231.87999999999</v>
      </c>
      <c r="E58" s="76">
        <v>0.1</v>
      </c>
      <c r="F58" s="76">
        <f t="shared" si="5"/>
        <v>-4123.1879999999992</v>
      </c>
    </row>
    <row r="59" spans="2:6" x14ac:dyDescent="0.25">
      <c r="B59" s="66">
        <v>42948</v>
      </c>
      <c r="C59" s="4" t="s">
        <v>6</v>
      </c>
      <c r="D59" s="3">
        <v>34689.200000000004</v>
      </c>
      <c r="E59" s="76">
        <v>0.08</v>
      </c>
      <c r="F59" s="76">
        <f t="shared" si="5"/>
        <v>-2775.1360000000004</v>
      </c>
    </row>
    <row r="60" spans="2:6" x14ac:dyDescent="0.25">
      <c r="B60" s="66">
        <v>42979</v>
      </c>
      <c r="C60" s="4" t="s">
        <v>6</v>
      </c>
      <c r="D60" s="3">
        <v>27142.660000000011</v>
      </c>
      <c r="E60" s="76">
        <v>0.06</v>
      </c>
      <c r="F60" s="76">
        <f t="shared" si="5"/>
        <v>-1628.5596000000005</v>
      </c>
    </row>
    <row r="61" spans="2:6" x14ac:dyDescent="0.25">
      <c r="B61" s="66">
        <v>43009</v>
      </c>
      <c r="C61" s="4" t="s">
        <v>6</v>
      </c>
      <c r="D61" s="3">
        <v>31597.62000000001</v>
      </c>
      <c r="E61" s="76">
        <v>0.06</v>
      </c>
      <c r="F61" s="76">
        <f t="shared" si="5"/>
        <v>-1895.8572000000006</v>
      </c>
    </row>
    <row r="62" spans="2:6" x14ac:dyDescent="0.25">
      <c r="B62" s="66">
        <v>43040</v>
      </c>
      <c r="C62" s="4" t="s">
        <v>6</v>
      </c>
      <c r="D62" s="3">
        <v>-241384.09000000003</v>
      </c>
      <c r="E62" s="76">
        <v>0.03</v>
      </c>
      <c r="F62" s="76">
        <f t="shared" si="5"/>
        <v>7241.5227000000004</v>
      </c>
    </row>
    <row r="63" spans="2:6" x14ac:dyDescent="0.25">
      <c r="B63" s="66">
        <v>43070</v>
      </c>
      <c r="C63" s="4" t="s">
        <v>6</v>
      </c>
      <c r="D63" s="3">
        <v>255329.49999999997</v>
      </c>
      <c r="E63" s="76">
        <v>0</v>
      </c>
      <c r="F63" s="76">
        <f t="shared" si="5"/>
        <v>0</v>
      </c>
    </row>
    <row r="64" spans="2:6" x14ac:dyDescent="0.25">
      <c r="D64" s="3">
        <f>SUM(D51:D63)</f>
        <v>422865.64</v>
      </c>
      <c r="E64" s="3"/>
      <c r="F64" s="61">
        <f>SUM(F51:F63)</f>
        <v>-67074.228299999988</v>
      </c>
    </row>
  </sheetData>
  <sortState ref="A2:N29">
    <sortCondition ref="A2:A29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3"/>
  <sheetViews>
    <sheetView workbookViewId="0"/>
  </sheetViews>
  <sheetFormatPr baseColWidth="10" defaultRowHeight="15" x14ac:dyDescent="0.25"/>
  <cols>
    <col min="1" max="1" width="21.42578125" bestFit="1" customWidth="1"/>
    <col min="2" max="3" width="12.42578125" style="3" bestFit="1" customWidth="1"/>
    <col min="4" max="4" width="4" customWidth="1"/>
    <col min="6" max="6" width="18.42578125" style="76" bestFit="1" customWidth="1"/>
    <col min="7" max="7" width="11.42578125" style="76"/>
    <col min="8" max="8" width="12.42578125" style="3" bestFit="1" customWidth="1"/>
    <col min="9" max="10" width="11.42578125" style="3"/>
    <col min="11" max="11" width="11.7109375" style="3" bestFit="1" customWidth="1"/>
    <col min="12" max="12" width="9.42578125" style="76" bestFit="1" customWidth="1"/>
    <col min="14" max="14" width="11.7109375" bestFit="1" customWidth="1"/>
    <col min="16" max="16" width="11.7109375" bestFit="1" customWidth="1"/>
  </cols>
  <sheetData>
    <row r="1" spans="1:15" x14ac:dyDescent="0.25">
      <c r="A1" s="45" t="s">
        <v>177</v>
      </c>
      <c r="B1" s="63" t="s">
        <v>147</v>
      </c>
      <c r="C1" s="63" t="s">
        <v>148</v>
      </c>
      <c r="E1" s="154" t="s">
        <v>189</v>
      </c>
      <c r="K1" s="3" t="s">
        <v>222</v>
      </c>
      <c r="L1" s="86"/>
      <c r="M1" s="46" t="s">
        <v>6</v>
      </c>
    </row>
    <row r="2" spans="1:15" x14ac:dyDescent="0.25">
      <c r="A2" t="s">
        <v>133</v>
      </c>
      <c r="B2" s="62">
        <f>+'4-DETALLExMES'!AN2</f>
        <v>559157.31999999995</v>
      </c>
      <c r="C2" s="62">
        <f>+B2</f>
        <v>559157.31999999995</v>
      </c>
      <c r="E2" s="66">
        <v>43070</v>
      </c>
      <c r="F2" s="77">
        <f>+'2-REGISTRACIONES'!D49</f>
        <v>5000</v>
      </c>
      <c r="G2" s="76">
        <f>+'2-REGISTRACIONES'!F50</f>
        <v>18.399999999999999</v>
      </c>
      <c r="H2" s="3">
        <f>+F2*G2</f>
        <v>92000</v>
      </c>
      <c r="I2" s="3">
        <v>1</v>
      </c>
      <c r="J2" s="61">
        <f>+H2*I2</f>
        <v>92000</v>
      </c>
      <c r="L2" s="86"/>
      <c r="M2" s="60"/>
    </row>
    <row r="3" spans="1:15" x14ac:dyDescent="0.25">
      <c r="A3" t="s">
        <v>134</v>
      </c>
      <c r="B3" s="62">
        <f>+'4-DETALLExMES'!AN3</f>
        <v>92000</v>
      </c>
      <c r="C3" s="62">
        <f>+J2</f>
        <v>92000</v>
      </c>
      <c r="E3" s="66">
        <v>42705</v>
      </c>
      <c r="F3" s="77">
        <f>+F2</f>
        <v>5000</v>
      </c>
      <c r="G3" s="76">
        <f>+'2-REGISTRACIONES'!F49</f>
        <v>15.65</v>
      </c>
      <c r="H3" s="3">
        <f>+F3*G3</f>
        <v>78250</v>
      </c>
      <c r="I3" s="3">
        <f>+'1-COEF REALES'!D21</f>
        <v>1.25</v>
      </c>
      <c r="J3" s="3">
        <f>+H3*I3</f>
        <v>97812.5</v>
      </c>
      <c r="K3" s="61">
        <f>+J2-J3</f>
        <v>-5812.5</v>
      </c>
      <c r="L3" s="88" t="s">
        <v>223</v>
      </c>
      <c r="M3" s="60">
        <f>+J3-H3</f>
        <v>19562.5</v>
      </c>
    </row>
    <row r="4" spans="1:15" x14ac:dyDescent="0.25">
      <c r="A4" t="s">
        <v>135</v>
      </c>
      <c r="B4" s="62">
        <f>+'4-DETALLExMES'!AN4</f>
        <v>272472.70049999998</v>
      </c>
      <c r="C4" s="128">
        <f>+B4</f>
        <v>272472.70049999998</v>
      </c>
      <c r="F4" s="77"/>
      <c r="H4" s="57">
        <f>+J2-H3</f>
        <v>13750</v>
      </c>
      <c r="L4" s="86"/>
      <c r="M4" s="85"/>
    </row>
    <row r="5" spans="1:15" x14ac:dyDescent="0.25">
      <c r="A5" t="s">
        <v>74</v>
      </c>
      <c r="B5" s="128">
        <f>+'4-DETALLExMES'!AN5</f>
        <v>287620</v>
      </c>
      <c r="C5" s="128">
        <f>+J6</f>
        <v>287620</v>
      </c>
      <c r="E5" s="154" t="s">
        <v>191</v>
      </c>
      <c r="F5" s="77"/>
      <c r="L5" s="86"/>
      <c r="M5" s="85"/>
    </row>
    <row r="6" spans="1:15" x14ac:dyDescent="0.25">
      <c r="A6" t="s">
        <v>136</v>
      </c>
      <c r="B6" s="62">
        <f>+'4-DETALLExMES'!AN6</f>
        <v>17795.199999999997</v>
      </c>
      <c r="C6" s="128">
        <f>+I75</f>
        <v>22244</v>
      </c>
      <c r="E6" s="66">
        <v>43070</v>
      </c>
      <c r="F6" s="77">
        <f>+'3-CMV HIST'!C32</f>
        <v>394</v>
      </c>
      <c r="G6" s="76">
        <f>+'2-REGISTRACIONES'!N3</f>
        <v>730</v>
      </c>
      <c r="H6" s="3">
        <f>+F6*G6</f>
        <v>287620</v>
      </c>
      <c r="I6" s="3">
        <v>1</v>
      </c>
      <c r="J6" s="61">
        <f>+H6*I6</f>
        <v>287620</v>
      </c>
      <c r="L6" s="86"/>
      <c r="M6" s="85"/>
    </row>
    <row r="7" spans="1:15" x14ac:dyDescent="0.25">
      <c r="A7" t="s">
        <v>86</v>
      </c>
      <c r="B7" s="62">
        <f>+'4-DETALLExMES'!AN7</f>
        <v>88519.5</v>
      </c>
      <c r="C7" s="128">
        <f>+I79</f>
        <v>110649.375</v>
      </c>
      <c r="E7" s="66">
        <v>43009</v>
      </c>
      <c r="F7" s="77">
        <f>+'3-CMV HIST'!C17+'3-CMV HIST'!C31</f>
        <v>19</v>
      </c>
      <c r="G7" s="76">
        <f>+'2-REGISTRACIONES'!L3</f>
        <v>690</v>
      </c>
      <c r="H7" s="3">
        <f>+F7*G7</f>
        <v>13110</v>
      </c>
      <c r="I7" s="3">
        <f>+'1-COEF REALES'!D31</f>
        <v>1.05</v>
      </c>
      <c r="J7" s="3">
        <f>+H7*I7</f>
        <v>13765.5</v>
      </c>
      <c r="L7" s="86"/>
      <c r="M7" s="85"/>
    </row>
    <row r="8" spans="1:15" x14ac:dyDescent="0.25">
      <c r="A8" t="s">
        <v>137</v>
      </c>
      <c r="B8" s="62">
        <f>+'4-DETALLExMES'!AN8</f>
        <v>35802.400000000023</v>
      </c>
      <c r="C8" s="128">
        <f>+I83</f>
        <v>44753</v>
      </c>
      <c r="E8" s="66">
        <v>43040</v>
      </c>
      <c r="F8" s="77">
        <f>+'3-CMV HIST'!C18</f>
        <v>180</v>
      </c>
      <c r="G8" s="76">
        <f>+'2-REGISTRACIONES'!M3</f>
        <v>705</v>
      </c>
      <c r="H8" s="3">
        <f t="shared" ref="H8:H9" si="0">+F8*G8</f>
        <v>126900</v>
      </c>
      <c r="I8" s="3">
        <f>+'1-COEF REALES'!D32</f>
        <v>1.03</v>
      </c>
      <c r="J8" s="3">
        <f t="shared" ref="J8:J9" si="1">+H8*I8</f>
        <v>130707</v>
      </c>
      <c r="L8" s="86"/>
      <c r="M8" s="85"/>
    </row>
    <row r="9" spans="1:15" x14ac:dyDescent="0.25">
      <c r="A9" s="45" t="s">
        <v>142</v>
      </c>
      <c r="B9" s="109">
        <f>SUM(B2:B8)</f>
        <v>1353367.1204999997</v>
      </c>
      <c r="C9" s="147">
        <f>SUM(C2:C8)</f>
        <v>1388896.3954999999</v>
      </c>
      <c r="E9" s="66">
        <v>43070</v>
      </c>
      <c r="F9" s="77">
        <f>+'3-CMV HIST'!C19</f>
        <v>195</v>
      </c>
      <c r="G9" s="76">
        <f>+'2-REGISTRACIONES'!N3</f>
        <v>730</v>
      </c>
      <c r="H9" s="3">
        <f t="shared" si="0"/>
        <v>142350</v>
      </c>
      <c r="I9" s="3">
        <v>1</v>
      </c>
      <c r="J9" s="3">
        <f t="shared" si="1"/>
        <v>142350</v>
      </c>
      <c r="L9" s="86"/>
      <c r="M9" s="85"/>
    </row>
    <row r="10" spans="1:15" x14ac:dyDescent="0.25">
      <c r="A10" t="s">
        <v>132</v>
      </c>
      <c r="B10" s="62">
        <f>+'4-DETALLExMES'!AN10</f>
        <v>172243.5</v>
      </c>
      <c r="C10" s="128">
        <f t="shared" ref="C10:C16" si="2">+B10</f>
        <v>172243.5</v>
      </c>
      <c r="F10" s="77"/>
      <c r="H10" s="3">
        <f>SUM(H7:H9)</f>
        <v>282360</v>
      </c>
      <c r="J10" s="3">
        <f>SUM(J7:J9)</f>
        <v>286822.5</v>
      </c>
      <c r="K10" s="61">
        <f>+J6-J10</f>
        <v>797.5</v>
      </c>
      <c r="L10" s="88" t="s">
        <v>224</v>
      </c>
      <c r="M10" s="60">
        <f>+J10-H10</f>
        <v>4462.5</v>
      </c>
    </row>
    <row r="11" spans="1:15" x14ac:dyDescent="0.25">
      <c r="A11" t="s">
        <v>138</v>
      </c>
      <c r="B11" s="62">
        <f>+'4-DETALLExMES'!AN11</f>
        <v>136291.68000000002</v>
      </c>
      <c r="C11" s="62">
        <f t="shared" si="2"/>
        <v>136291.68000000002</v>
      </c>
      <c r="F11" s="77"/>
      <c r="H11" s="57">
        <f>+J6-H10</f>
        <v>5260</v>
      </c>
      <c r="L11" s="86"/>
      <c r="M11" s="85"/>
    </row>
    <row r="12" spans="1:15" x14ac:dyDescent="0.25">
      <c r="A12" t="s">
        <v>175</v>
      </c>
      <c r="B12" s="62">
        <f>-B53</f>
        <v>96047.868175000011</v>
      </c>
      <c r="C12" s="62">
        <f>-C53</f>
        <v>45940.03942500001</v>
      </c>
      <c r="E12" s="154" t="s">
        <v>192</v>
      </c>
      <c r="F12" s="77"/>
      <c r="L12" s="86"/>
      <c r="M12" s="85"/>
      <c r="O12" s="3"/>
    </row>
    <row r="13" spans="1:15" x14ac:dyDescent="0.25">
      <c r="A13" t="s">
        <v>139</v>
      </c>
      <c r="B13" s="62">
        <f>+'4-DETALLExMES'!AN13</f>
        <v>7908.96</v>
      </c>
      <c r="C13" s="62">
        <f t="shared" si="2"/>
        <v>7908.96</v>
      </c>
      <c r="E13" s="66">
        <v>42736</v>
      </c>
      <c r="F13" s="77">
        <f>+'2-REGISTRACIONES'!C$6</f>
        <v>139</v>
      </c>
      <c r="G13" s="76">
        <f>+'2-REGISTRACIONES'!C11</f>
        <v>570</v>
      </c>
      <c r="H13" s="3">
        <f>+F13*G13</f>
        <v>79230</v>
      </c>
      <c r="I13" s="3">
        <f>+'1-COEF REALES'!D22</f>
        <v>1.23</v>
      </c>
      <c r="J13" s="3">
        <f>+H13*I13</f>
        <v>97452.9</v>
      </c>
      <c r="L13" s="86"/>
      <c r="M13" s="85"/>
      <c r="O13" s="3"/>
    </row>
    <row r="14" spans="1:15" x14ac:dyDescent="0.25">
      <c r="A14" t="s">
        <v>91</v>
      </c>
      <c r="B14" s="62">
        <f>+'4-DETALLExMES'!AN14</f>
        <v>41296.5</v>
      </c>
      <c r="C14" s="62">
        <f t="shared" si="2"/>
        <v>41296.5</v>
      </c>
      <c r="E14" s="66">
        <v>42767</v>
      </c>
      <c r="F14" s="77">
        <f>+'2-REGISTRACIONES'!D$6</f>
        <v>123</v>
      </c>
      <c r="G14" s="76">
        <f>+'2-REGISTRACIONES'!D11</f>
        <v>570</v>
      </c>
      <c r="H14" s="3">
        <f t="shared" ref="H14:H24" si="3">+F14*G14</f>
        <v>70110</v>
      </c>
      <c r="I14" s="3">
        <f>+'1-COEF REALES'!D23</f>
        <v>1.2</v>
      </c>
      <c r="J14" s="3">
        <f t="shared" ref="J14:J35" si="4">+H14*I14</f>
        <v>84132</v>
      </c>
      <c r="L14" s="86"/>
      <c r="M14" s="85"/>
      <c r="O14" s="3"/>
    </row>
    <row r="15" spans="1:15" x14ac:dyDescent="0.25">
      <c r="A15" t="s">
        <v>92</v>
      </c>
      <c r="B15" s="62">
        <f>+'4-DETALLExMES'!AN15</f>
        <v>3401</v>
      </c>
      <c r="C15" s="62">
        <f t="shared" si="2"/>
        <v>3401</v>
      </c>
      <c r="E15" s="66">
        <v>42795</v>
      </c>
      <c r="F15" s="77">
        <f>+'2-REGISTRACIONES'!E$6</f>
        <v>107</v>
      </c>
      <c r="G15" s="76">
        <f>+'2-REGISTRACIONES'!E$11</f>
        <v>595</v>
      </c>
      <c r="H15" s="3">
        <f t="shared" si="3"/>
        <v>63665</v>
      </c>
      <c r="I15" s="3">
        <f>+'1-COEF REALES'!D24</f>
        <v>1.18</v>
      </c>
      <c r="J15" s="3">
        <f t="shared" si="4"/>
        <v>75124.7</v>
      </c>
      <c r="L15" s="86"/>
      <c r="M15" s="85"/>
      <c r="O15" s="3"/>
    </row>
    <row r="16" spans="1:15" x14ac:dyDescent="0.25">
      <c r="A16" t="s">
        <v>140</v>
      </c>
      <c r="B16" s="62">
        <f>+'4-DETALLExMES'!AN16</f>
        <v>3025</v>
      </c>
      <c r="C16" s="62">
        <f t="shared" si="2"/>
        <v>3025</v>
      </c>
      <c r="E16" s="66">
        <v>42826</v>
      </c>
      <c r="F16" s="77">
        <f>+'2-REGISTRACIONES'!F$6</f>
        <v>138</v>
      </c>
      <c r="G16" s="76">
        <f>+'2-REGISTRACIONES'!F$11</f>
        <v>595</v>
      </c>
      <c r="H16" s="3">
        <f t="shared" si="3"/>
        <v>82110</v>
      </c>
      <c r="I16" s="3">
        <f>+'1-COEF REALES'!D25</f>
        <v>1.1499999999999999</v>
      </c>
      <c r="J16" s="3">
        <f t="shared" si="4"/>
        <v>94426.499999999985</v>
      </c>
      <c r="L16" s="86"/>
      <c r="M16" s="85"/>
      <c r="O16" s="3"/>
    </row>
    <row r="17" spans="1:15" x14ac:dyDescent="0.25">
      <c r="A17" s="45" t="s">
        <v>143</v>
      </c>
      <c r="B17" s="109">
        <f>SUM(B10:B16)</f>
        <v>460214.50817500008</v>
      </c>
      <c r="C17" s="109">
        <f>SUM(C10:C16)</f>
        <v>410106.6794250001</v>
      </c>
      <c r="E17" s="66">
        <v>42856</v>
      </c>
      <c r="F17" s="77">
        <f>+'2-REGISTRACIONES'!G$6</f>
        <v>125</v>
      </c>
      <c r="G17" s="76">
        <f>+'2-REGISTRACIONES'!G$11</f>
        <v>600</v>
      </c>
      <c r="H17" s="3">
        <f t="shared" si="3"/>
        <v>75000</v>
      </c>
      <c r="I17" s="3">
        <f>+'1-COEF REALES'!D26</f>
        <v>1.1299999999999999</v>
      </c>
      <c r="J17" s="3">
        <f t="shared" si="4"/>
        <v>84749.999999999985</v>
      </c>
      <c r="L17" s="86"/>
      <c r="M17" s="85"/>
      <c r="O17" s="3"/>
    </row>
    <row r="18" spans="1:15" x14ac:dyDescent="0.25">
      <c r="A18" t="s">
        <v>73</v>
      </c>
      <c r="B18" s="62">
        <f>+'4-DETALLExMES'!AN18</f>
        <v>714778</v>
      </c>
      <c r="C18" s="62">
        <f>+B18</f>
        <v>714778</v>
      </c>
      <c r="E18" s="66">
        <v>42887</v>
      </c>
      <c r="F18" s="77">
        <f>+'2-REGISTRACIONES'!H$6</f>
        <v>146</v>
      </c>
      <c r="G18" s="76">
        <f>+'2-REGISTRACIONES'!H$11</f>
        <v>630</v>
      </c>
      <c r="H18" s="3">
        <f t="shared" si="3"/>
        <v>91980</v>
      </c>
      <c r="I18" s="3">
        <f>+'1-COEF REALES'!D27</f>
        <v>1.1200000000000001</v>
      </c>
      <c r="J18" s="3">
        <f t="shared" si="4"/>
        <v>103017.60000000001</v>
      </c>
      <c r="L18" s="86"/>
      <c r="M18" s="85"/>
      <c r="O18" s="3"/>
    </row>
    <row r="19" spans="1:15" x14ac:dyDescent="0.25">
      <c r="A19" t="s">
        <v>145</v>
      </c>
      <c r="B19" s="62">
        <v>0</v>
      </c>
      <c r="C19" s="62">
        <f>+I86</f>
        <v>178694.5</v>
      </c>
      <c r="E19" s="66">
        <v>42917</v>
      </c>
      <c r="F19" s="77">
        <f>+'2-REGISTRACIONES'!I$6</f>
        <v>164</v>
      </c>
      <c r="G19" s="76">
        <f>+'2-REGISTRACIONES'!I$11</f>
        <v>645</v>
      </c>
      <c r="H19" s="3">
        <f t="shared" si="3"/>
        <v>105780</v>
      </c>
      <c r="I19" s="3">
        <f>+'1-COEF REALES'!D28</f>
        <v>1.1000000000000001</v>
      </c>
      <c r="J19" s="3">
        <f t="shared" si="4"/>
        <v>116358.00000000001</v>
      </c>
      <c r="L19" s="86"/>
      <c r="M19" s="85"/>
      <c r="O19" s="3"/>
    </row>
    <row r="20" spans="1:15" x14ac:dyDescent="0.25">
      <c r="A20" t="s">
        <v>141</v>
      </c>
      <c r="B20" s="62">
        <f>+B54</f>
        <v>178374.61232500005</v>
      </c>
      <c r="C20" s="62">
        <f>+C54</f>
        <v>85317.216075000018</v>
      </c>
      <c r="E20" s="66">
        <v>42948</v>
      </c>
      <c r="F20" s="77">
        <f>+'2-REGISTRACIONES'!J$6</f>
        <v>160</v>
      </c>
      <c r="G20" s="76">
        <f>+'2-REGISTRACIONES'!J$11</f>
        <v>670</v>
      </c>
      <c r="H20" s="3">
        <f t="shared" si="3"/>
        <v>107200</v>
      </c>
      <c r="I20" s="3">
        <f>+'1-COEF REALES'!D29</f>
        <v>1.08</v>
      </c>
      <c r="J20" s="3">
        <f t="shared" si="4"/>
        <v>115776.00000000001</v>
      </c>
      <c r="L20" s="86"/>
      <c r="M20" s="85"/>
      <c r="O20" s="3"/>
    </row>
    <row r="21" spans="1:15" x14ac:dyDescent="0.25">
      <c r="A21" s="45" t="s">
        <v>144</v>
      </c>
      <c r="B21" s="109">
        <f>SUM(B18:B20)</f>
        <v>893152.61232500011</v>
      </c>
      <c r="C21" s="109">
        <f>SUM(C18:C20)</f>
        <v>978789.716075</v>
      </c>
      <c r="E21" s="66">
        <v>42979</v>
      </c>
      <c r="F21" s="77">
        <f>+'2-REGISTRACIONES'!K$6</f>
        <v>159</v>
      </c>
      <c r="G21" s="76">
        <f>+'2-REGISTRACIONES'!K$11</f>
        <v>690</v>
      </c>
      <c r="H21" s="3">
        <f t="shared" si="3"/>
        <v>109710</v>
      </c>
      <c r="I21" s="3">
        <f>+'1-COEF REALES'!D30</f>
        <v>1.06</v>
      </c>
      <c r="J21" s="3">
        <f t="shared" si="4"/>
        <v>116292.6</v>
      </c>
      <c r="L21" s="86"/>
      <c r="M21" s="85"/>
      <c r="O21" s="3"/>
    </row>
    <row r="22" spans="1:15" x14ac:dyDescent="0.25">
      <c r="B22" s="107">
        <f>+B9-B17-B21</f>
        <v>0</v>
      </c>
      <c r="C22" s="107">
        <f>+C9-C17-C21</f>
        <v>0</v>
      </c>
      <c r="E22" s="66">
        <v>43009</v>
      </c>
      <c r="F22" s="77">
        <f>+'2-REGISTRACIONES'!L$6</f>
        <v>163</v>
      </c>
      <c r="G22" s="76">
        <f>+'2-REGISTRACIONES'!L$11</f>
        <v>690</v>
      </c>
      <c r="H22" s="3">
        <f t="shared" si="3"/>
        <v>112470</v>
      </c>
      <c r="I22" s="3">
        <f>+'1-COEF REALES'!D31</f>
        <v>1.05</v>
      </c>
      <c r="J22" s="3">
        <f t="shared" si="4"/>
        <v>118093.5</v>
      </c>
      <c r="L22" s="86"/>
      <c r="M22" s="85"/>
      <c r="O22" s="3"/>
    </row>
    <row r="23" spans="1:15" x14ac:dyDescent="0.25">
      <c r="A23" t="s">
        <v>79</v>
      </c>
      <c r="B23" s="62">
        <f>+H50</f>
        <v>2076552</v>
      </c>
      <c r="C23" s="62">
        <f>+K49</f>
        <v>2277689.67</v>
      </c>
      <c r="E23" s="66">
        <v>43040</v>
      </c>
      <c r="F23" s="77">
        <f>+'2-REGISTRACIONES'!M$6</f>
        <v>169</v>
      </c>
      <c r="G23" s="76">
        <f>+'2-REGISTRACIONES'!M$11</f>
        <v>705</v>
      </c>
      <c r="H23" s="3">
        <f t="shared" si="3"/>
        <v>119145</v>
      </c>
      <c r="I23" s="3">
        <f>+'1-COEF REALES'!D32</f>
        <v>1.03</v>
      </c>
      <c r="J23" s="3">
        <f t="shared" si="4"/>
        <v>122719.35</v>
      </c>
      <c r="L23" s="86"/>
      <c r="M23" s="85"/>
      <c r="O23" s="3"/>
    </row>
    <row r="24" spans="1:15" x14ac:dyDescent="0.25">
      <c r="A24" s="44" t="s">
        <v>178</v>
      </c>
      <c r="B24" s="62">
        <f>-K24</f>
        <v>-1265383.1499999999</v>
      </c>
      <c r="C24" s="62">
        <f>-K24</f>
        <v>-1265383.1499999999</v>
      </c>
      <c r="E24" s="36">
        <v>43070</v>
      </c>
      <c r="F24" s="78">
        <f>+'2-REGISTRACIONES'!N$6</f>
        <v>188</v>
      </c>
      <c r="G24" s="79">
        <f>+'2-REGISTRACIONES'!N$11</f>
        <v>730</v>
      </c>
      <c r="H24" s="67">
        <f t="shared" si="3"/>
        <v>137240</v>
      </c>
      <c r="I24" s="67">
        <v>1</v>
      </c>
      <c r="J24" s="67">
        <f t="shared" si="4"/>
        <v>137240</v>
      </c>
      <c r="K24" s="61">
        <f>SUM(J13:J24)</f>
        <v>1265383.1499999999</v>
      </c>
      <c r="L24" s="88"/>
      <c r="M24" s="85"/>
      <c r="O24" s="3"/>
    </row>
    <row r="25" spans="1:15" x14ac:dyDescent="0.25">
      <c r="A25" s="44" t="s">
        <v>149</v>
      </c>
      <c r="B25" s="62">
        <f>H4</f>
        <v>13750</v>
      </c>
      <c r="C25" s="62">
        <f>+K3</f>
        <v>-5812.5</v>
      </c>
      <c r="E25" s="66">
        <v>42705</v>
      </c>
      <c r="F25" s="4">
        <f>+'2-REGISTRACIONES'!B2</f>
        <v>400</v>
      </c>
      <c r="G25" s="76">
        <f>+'2-REGISTRACIONES'!B3</f>
        <v>562</v>
      </c>
      <c r="H25" s="3">
        <f>+F25*G25</f>
        <v>224800</v>
      </c>
      <c r="I25" s="3">
        <f>+'1-COEF REALES'!D21</f>
        <v>1.25</v>
      </c>
      <c r="J25" s="3">
        <f t="shared" si="4"/>
        <v>281000</v>
      </c>
      <c r="L25" s="86"/>
      <c r="M25" s="85"/>
    </row>
    <row r="26" spans="1:15" x14ac:dyDescent="0.25">
      <c r="A26" t="s">
        <v>150</v>
      </c>
      <c r="B26" s="62">
        <f>+F54</f>
        <v>12974.890500000009</v>
      </c>
      <c r="C26" s="62">
        <f>+I53</f>
        <v>6541.0604999999923</v>
      </c>
      <c r="E26" s="66">
        <v>42736</v>
      </c>
      <c r="F26" s="4">
        <f>+'2-REGISTRACIONES'!C2</f>
        <v>150</v>
      </c>
      <c r="G26" s="76">
        <f>+'2-REGISTRACIONES'!C3</f>
        <v>570</v>
      </c>
      <c r="H26" s="3">
        <f t="shared" ref="H26:H35" si="5">+F26*G26</f>
        <v>85500</v>
      </c>
      <c r="I26" s="3">
        <f>+'1-COEF REALES'!D22</f>
        <v>1.23</v>
      </c>
      <c r="J26" s="3">
        <f t="shared" si="4"/>
        <v>105165</v>
      </c>
      <c r="L26" s="86"/>
      <c r="M26" s="85"/>
    </row>
    <row r="27" spans="1:15" x14ac:dyDescent="0.25">
      <c r="A27" t="s">
        <v>152</v>
      </c>
      <c r="B27" s="62">
        <f>+F58</f>
        <v>-7677.4500000000116</v>
      </c>
      <c r="C27" s="62">
        <f>+I57</f>
        <v>-7907.7735000000102</v>
      </c>
      <c r="E27" s="66">
        <v>42767</v>
      </c>
      <c r="F27" s="4">
        <f>+'2-REGISTRACIONES'!D2</f>
        <v>130</v>
      </c>
      <c r="G27" s="76">
        <f>+'2-REGISTRACIONES'!D3</f>
        <v>570</v>
      </c>
      <c r="H27" s="3">
        <f t="shared" si="5"/>
        <v>74100</v>
      </c>
      <c r="I27" s="3">
        <f>+'1-COEF REALES'!D23</f>
        <v>1.2</v>
      </c>
      <c r="J27" s="3">
        <f t="shared" si="4"/>
        <v>88920</v>
      </c>
      <c r="L27" s="86"/>
      <c r="M27" s="85"/>
    </row>
    <row r="28" spans="1:15" x14ac:dyDescent="0.25">
      <c r="A28" t="s">
        <v>151</v>
      </c>
      <c r="B28" s="62">
        <f>+H11</f>
        <v>5260</v>
      </c>
      <c r="C28" s="62">
        <f>+K10</f>
        <v>797.5</v>
      </c>
      <c r="E28" s="66">
        <v>42795</v>
      </c>
      <c r="F28" s="4">
        <f>+'2-REGISTRACIONES'!E2</f>
        <v>120</v>
      </c>
      <c r="G28" s="76">
        <f>+'2-REGISTRACIONES'!E3</f>
        <v>595</v>
      </c>
      <c r="H28" s="3">
        <f t="shared" si="5"/>
        <v>71400</v>
      </c>
      <c r="I28" s="3">
        <f>+'1-COEF REALES'!D24</f>
        <v>1.18</v>
      </c>
      <c r="J28" s="3">
        <f t="shared" si="4"/>
        <v>84252</v>
      </c>
      <c r="K28" s="50"/>
      <c r="L28" s="89"/>
      <c r="M28" s="87"/>
    </row>
    <row r="29" spans="1:15" x14ac:dyDescent="0.25">
      <c r="A29" t="s">
        <v>4</v>
      </c>
      <c r="B29" s="62">
        <f>+H37</f>
        <v>172543.14999999991</v>
      </c>
      <c r="C29" s="62">
        <f>+K36</f>
        <v>8971.6499999999069</v>
      </c>
      <c r="E29" s="66">
        <v>42826</v>
      </c>
      <c r="F29" s="4">
        <f>+'2-REGISTRACIONES'!F2</f>
        <v>140</v>
      </c>
      <c r="G29" s="76">
        <f>+'2-REGISTRACIONES'!F3</f>
        <v>595</v>
      </c>
      <c r="H29" s="3">
        <f t="shared" si="5"/>
        <v>83300</v>
      </c>
      <c r="I29" s="3">
        <f>+'1-COEF REALES'!D25</f>
        <v>1.1499999999999999</v>
      </c>
      <c r="J29" s="3">
        <f t="shared" si="4"/>
        <v>95794.999999999985</v>
      </c>
      <c r="L29" s="86"/>
      <c r="M29" s="85"/>
    </row>
    <row r="30" spans="1:15" x14ac:dyDescent="0.25">
      <c r="A30" t="s">
        <v>153</v>
      </c>
      <c r="B30" s="62">
        <f>-F72</f>
        <v>-27812</v>
      </c>
      <c r="C30" s="62">
        <f>-I71</f>
        <v>-30673.49</v>
      </c>
      <c r="E30" s="66">
        <v>42856</v>
      </c>
      <c r="F30" s="4">
        <f>+'2-REGISTRACIONES'!G2</f>
        <v>80</v>
      </c>
      <c r="G30" s="76">
        <f>+'2-REGISTRACIONES'!G3</f>
        <v>600</v>
      </c>
      <c r="H30" s="3">
        <f t="shared" si="5"/>
        <v>48000</v>
      </c>
      <c r="I30" s="3">
        <f>+'1-COEF REALES'!D26</f>
        <v>1.1299999999999999</v>
      </c>
      <c r="J30" s="3">
        <f t="shared" si="4"/>
        <v>54239.999999999993</v>
      </c>
      <c r="L30" s="86"/>
      <c r="M30" s="85"/>
    </row>
    <row r="31" spans="1:15" x14ac:dyDescent="0.25">
      <c r="A31" t="s">
        <v>146</v>
      </c>
      <c r="B31" s="62">
        <f>-F101</f>
        <v>-100800</v>
      </c>
      <c r="C31" s="62">
        <f>-I100</f>
        <v>-111696</v>
      </c>
      <c r="E31" s="66">
        <v>42887</v>
      </c>
      <c r="F31" s="4">
        <f>+'2-REGISTRACIONES'!H2</f>
        <v>160</v>
      </c>
      <c r="G31" s="76">
        <f>+'2-REGISTRACIONES'!H3</f>
        <v>630</v>
      </c>
      <c r="H31" s="3">
        <f t="shared" si="5"/>
        <v>100800</v>
      </c>
      <c r="I31" s="3">
        <f>+'1-COEF REALES'!D27</f>
        <v>1.1200000000000001</v>
      </c>
      <c r="J31" s="3">
        <f t="shared" si="4"/>
        <v>112896.00000000001</v>
      </c>
      <c r="L31" s="86"/>
      <c r="M31" s="85"/>
    </row>
    <row r="32" spans="1:15" x14ac:dyDescent="0.25">
      <c r="A32" t="s">
        <v>154</v>
      </c>
      <c r="B32" s="62">
        <f>-F115</f>
        <v>-1920</v>
      </c>
      <c r="C32" s="62">
        <f>-I114</f>
        <v>-2123.6999999999998</v>
      </c>
      <c r="E32" s="66">
        <v>42917</v>
      </c>
      <c r="F32" s="4">
        <f>+'2-REGISTRACIONES'!I2</f>
        <v>150</v>
      </c>
      <c r="G32" s="76">
        <f>+'2-REGISTRACIONES'!I3</f>
        <v>645</v>
      </c>
      <c r="H32" s="3">
        <f t="shared" si="5"/>
        <v>96750</v>
      </c>
      <c r="I32" s="3">
        <f>+'1-COEF REALES'!D28</f>
        <v>1.1000000000000001</v>
      </c>
      <c r="J32" s="3">
        <f t="shared" si="4"/>
        <v>106425.00000000001</v>
      </c>
      <c r="L32" s="86"/>
      <c r="M32" s="85"/>
    </row>
    <row r="33" spans="1:16" x14ac:dyDescent="0.25">
      <c r="A33" t="s">
        <v>155</v>
      </c>
      <c r="B33" s="62">
        <f>-F117</f>
        <v>-12689</v>
      </c>
      <c r="C33" s="62">
        <f>-H117</f>
        <v>-15607.47</v>
      </c>
      <c r="E33" s="66">
        <v>42948</v>
      </c>
      <c r="F33" s="4">
        <f>+'2-REGISTRACIONES'!J2</f>
        <v>150</v>
      </c>
      <c r="G33" s="76">
        <f>+'2-REGISTRACIONES'!J3</f>
        <v>670</v>
      </c>
      <c r="H33" s="3">
        <f t="shared" si="5"/>
        <v>100500</v>
      </c>
      <c r="I33" s="3">
        <f>+'1-COEF REALES'!D29</f>
        <v>1.08</v>
      </c>
      <c r="J33" s="3">
        <f t="shared" si="4"/>
        <v>108540</v>
      </c>
      <c r="L33" s="86"/>
      <c r="M33" s="85"/>
      <c r="P33" s="3"/>
    </row>
    <row r="34" spans="1:16" x14ac:dyDescent="0.25">
      <c r="A34" t="s">
        <v>157</v>
      </c>
      <c r="B34" s="62">
        <f>-F132</f>
        <v>-19505</v>
      </c>
      <c r="C34" s="62">
        <f>-I131</f>
        <v>-21979.089999999997</v>
      </c>
      <c r="E34" s="66">
        <v>42979</v>
      </c>
      <c r="F34" s="4">
        <f>+'2-REGISTRACIONES'!K2</f>
        <v>160</v>
      </c>
      <c r="G34" s="76">
        <f>+'2-REGISTRACIONES'!K3</f>
        <v>690</v>
      </c>
      <c r="H34" s="3">
        <f t="shared" si="5"/>
        <v>110400</v>
      </c>
      <c r="I34" s="3">
        <f>+'1-COEF REALES'!D30</f>
        <v>1.06</v>
      </c>
      <c r="J34" s="3">
        <f t="shared" si="4"/>
        <v>117024</v>
      </c>
      <c r="L34" s="86"/>
      <c r="M34" s="85"/>
      <c r="N34" s="3"/>
      <c r="P34" s="3"/>
    </row>
    <row r="35" spans="1:16" x14ac:dyDescent="0.25">
      <c r="A35" t="s">
        <v>156</v>
      </c>
      <c r="B35" s="62">
        <f>-F146</f>
        <v>-23562</v>
      </c>
      <c r="C35" s="62">
        <f>-I145</f>
        <v>-25935.670000000002</v>
      </c>
      <c r="E35" s="66">
        <v>43009</v>
      </c>
      <c r="F35" s="77">
        <f>-'3-CMV HIST'!C31</f>
        <v>141</v>
      </c>
      <c r="G35" s="76">
        <f>+'2-REGISTRACIONES'!L3</f>
        <v>690</v>
      </c>
      <c r="H35" s="3">
        <f t="shared" si="5"/>
        <v>97290</v>
      </c>
      <c r="I35" s="3">
        <f>+'1-COEF REALES'!D31</f>
        <v>1.05</v>
      </c>
      <c r="J35" s="3">
        <f t="shared" si="4"/>
        <v>102154.5</v>
      </c>
      <c r="K35" s="3">
        <f>SUM(J25:J35)</f>
        <v>1256411.5</v>
      </c>
      <c r="L35" s="86"/>
      <c r="M35" s="85"/>
    </row>
    <row r="36" spans="1:16" x14ac:dyDescent="0.25">
      <c r="A36" t="s">
        <v>158</v>
      </c>
      <c r="B36" s="62">
        <f>-F160</f>
        <v>-33000</v>
      </c>
      <c r="C36" s="62">
        <f>-I159</f>
        <v>-36980</v>
      </c>
      <c r="H36" s="3">
        <f>SUM(H25:H35)</f>
        <v>1092840</v>
      </c>
      <c r="J36" s="3">
        <f t="shared" ref="J36" si="6">SUM(J25:J35)</f>
        <v>1256411.5</v>
      </c>
      <c r="K36" s="61">
        <f>+K24-K35</f>
        <v>8971.6499999999069</v>
      </c>
      <c r="L36" s="86" t="s">
        <v>2</v>
      </c>
      <c r="M36" s="60">
        <f>+J36-H36</f>
        <v>163571.5</v>
      </c>
    </row>
    <row r="37" spans="1:16" x14ac:dyDescent="0.25">
      <c r="A37" t="s">
        <v>159</v>
      </c>
      <c r="B37" s="62">
        <f>-F174</f>
        <v>-19200</v>
      </c>
      <c r="C37" s="62">
        <f>-I173</f>
        <v>-21259</v>
      </c>
      <c r="E37" s="154" t="s">
        <v>7</v>
      </c>
      <c r="H37" s="57">
        <f>+K24-H36</f>
        <v>172543.14999999991</v>
      </c>
      <c r="L37" s="86"/>
      <c r="M37" s="85"/>
    </row>
    <row r="38" spans="1:16" x14ac:dyDescent="0.25">
      <c r="A38" t="s">
        <v>160</v>
      </c>
      <c r="B38" s="62">
        <f>-F188</f>
        <v>-2863</v>
      </c>
      <c r="C38" s="62">
        <f>-I187</f>
        <v>-3169.03</v>
      </c>
      <c r="E38" s="66">
        <v>42736</v>
      </c>
      <c r="F38" s="77">
        <f t="shared" ref="F38:F49" si="7">+F13</f>
        <v>139</v>
      </c>
      <c r="G38" s="76">
        <f>+'2-REGISTRACIONES'!C7</f>
        <v>1026</v>
      </c>
      <c r="H38" s="3">
        <f>+F38*G38</f>
        <v>142614</v>
      </c>
      <c r="I38" s="3">
        <f>+I13</f>
        <v>1.23</v>
      </c>
      <c r="J38" s="3">
        <f>+H38*I38</f>
        <v>175415.22</v>
      </c>
      <c r="L38" s="86"/>
      <c r="M38" s="85"/>
    </row>
    <row r="39" spans="1:16" x14ac:dyDescent="0.25">
      <c r="A39" t="s">
        <v>161</v>
      </c>
      <c r="B39" s="62">
        <f>-F202</f>
        <v>-31618</v>
      </c>
      <c r="C39" s="62">
        <f>-I201</f>
        <v>-34911.379999999997</v>
      </c>
      <c r="E39" s="66">
        <v>42767</v>
      </c>
      <c r="F39" s="77">
        <f t="shared" si="7"/>
        <v>123</v>
      </c>
      <c r="G39" s="76">
        <f>+'2-REGISTRACIONES'!D7</f>
        <v>1026</v>
      </c>
      <c r="H39" s="3">
        <f t="shared" ref="H39:H49" si="8">+F39*G39</f>
        <v>126198</v>
      </c>
      <c r="I39" s="3">
        <f t="shared" ref="I39:I48" si="9">+I14</f>
        <v>1.2</v>
      </c>
      <c r="J39" s="3">
        <f t="shared" ref="J39:J49" si="10">+H39*I39</f>
        <v>151437.6</v>
      </c>
      <c r="L39" s="86"/>
      <c r="M39" s="85"/>
    </row>
    <row r="40" spans="1:16" x14ac:dyDescent="0.25">
      <c r="A40" t="s">
        <v>162</v>
      </c>
      <c r="B40" s="62">
        <f>-F216</f>
        <v>-25000</v>
      </c>
      <c r="C40" s="62">
        <f>-I215</f>
        <v>-27675</v>
      </c>
      <c r="E40" s="66">
        <v>42795</v>
      </c>
      <c r="F40" s="77">
        <f t="shared" si="7"/>
        <v>107</v>
      </c>
      <c r="G40" s="76">
        <f>+'2-REGISTRACIONES'!E7</f>
        <v>1071</v>
      </c>
      <c r="H40" s="3">
        <f t="shared" si="8"/>
        <v>114597</v>
      </c>
      <c r="I40" s="3">
        <f t="shared" si="9"/>
        <v>1.18</v>
      </c>
      <c r="J40" s="3">
        <f t="shared" si="10"/>
        <v>135224.46</v>
      </c>
      <c r="L40" s="86"/>
      <c r="M40" s="85"/>
    </row>
    <row r="41" spans="1:16" x14ac:dyDescent="0.25">
      <c r="A41" t="s">
        <v>163</v>
      </c>
      <c r="B41" s="62">
        <f>-F230</f>
        <v>-13656</v>
      </c>
      <c r="C41" s="62">
        <f>-I229</f>
        <v>-15062.83</v>
      </c>
      <c r="E41" s="66">
        <v>42826</v>
      </c>
      <c r="F41" s="77">
        <f t="shared" si="7"/>
        <v>138</v>
      </c>
      <c r="G41" s="76">
        <f>+'2-REGISTRACIONES'!F7</f>
        <v>1071</v>
      </c>
      <c r="H41" s="3">
        <f t="shared" si="8"/>
        <v>147798</v>
      </c>
      <c r="I41" s="3">
        <f t="shared" si="9"/>
        <v>1.1499999999999999</v>
      </c>
      <c r="J41" s="3">
        <f t="shared" si="10"/>
        <v>169967.69999999998</v>
      </c>
      <c r="L41" s="86"/>
      <c r="M41" s="85"/>
    </row>
    <row r="42" spans="1:16" x14ac:dyDescent="0.25">
      <c r="A42" t="s">
        <v>164</v>
      </c>
      <c r="B42" s="62">
        <f>-F244</f>
        <v>-138250</v>
      </c>
      <c r="C42" s="62">
        <f>-I243</f>
        <v>-152480</v>
      </c>
      <c r="E42" s="66">
        <v>42856</v>
      </c>
      <c r="F42" s="77">
        <f t="shared" si="7"/>
        <v>125</v>
      </c>
      <c r="G42" s="76">
        <f>+'2-REGISTRACIONES'!G7</f>
        <v>1080</v>
      </c>
      <c r="H42" s="3">
        <f t="shared" si="8"/>
        <v>135000</v>
      </c>
      <c r="I42" s="3">
        <f t="shared" si="9"/>
        <v>1.1299999999999999</v>
      </c>
      <c r="J42" s="3">
        <f t="shared" si="10"/>
        <v>152550</v>
      </c>
      <c r="L42" s="86"/>
      <c r="M42" s="85"/>
    </row>
    <row r="43" spans="1:16" x14ac:dyDescent="0.25">
      <c r="A43" t="s">
        <v>165</v>
      </c>
      <c r="B43" s="62">
        <f>-F258</f>
        <v>-110600</v>
      </c>
      <c r="C43" s="62">
        <f>-I257</f>
        <v>-121984</v>
      </c>
      <c r="E43" s="66">
        <v>42887</v>
      </c>
      <c r="F43" s="77">
        <f t="shared" si="7"/>
        <v>146</v>
      </c>
      <c r="G43" s="76">
        <f>+'2-REGISTRACIONES'!H7</f>
        <v>1134</v>
      </c>
      <c r="H43" s="3">
        <f t="shared" si="8"/>
        <v>165564</v>
      </c>
      <c r="I43" s="3">
        <f t="shared" si="9"/>
        <v>1.1200000000000001</v>
      </c>
      <c r="J43" s="3">
        <f t="shared" si="10"/>
        <v>185431.68000000002</v>
      </c>
      <c r="L43" s="86"/>
      <c r="M43" s="85"/>
    </row>
    <row r="44" spans="1:16" x14ac:dyDescent="0.25">
      <c r="A44" t="s">
        <v>167</v>
      </c>
      <c r="B44" s="62">
        <f>-F272</f>
        <v>-45622.5</v>
      </c>
      <c r="C44" s="62">
        <f>-I271</f>
        <v>-50318.399999999994</v>
      </c>
      <c r="E44" s="66">
        <v>42917</v>
      </c>
      <c r="F44" s="77">
        <f t="shared" si="7"/>
        <v>164</v>
      </c>
      <c r="G44" s="76">
        <f>+'2-REGISTRACIONES'!I7</f>
        <v>1161</v>
      </c>
      <c r="H44" s="3">
        <f t="shared" si="8"/>
        <v>190404</v>
      </c>
      <c r="I44" s="3">
        <f t="shared" si="9"/>
        <v>1.1000000000000001</v>
      </c>
      <c r="J44" s="3">
        <f t="shared" si="10"/>
        <v>209444.40000000002</v>
      </c>
      <c r="L44" s="86"/>
      <c r="M44" s="85"/>
    </row>
    <row r="45" spans="1:16" x14ac:dyDescent="0.25">
      <c r="A45" t="s">
        <v>166</v>
      </c>
      <c r="B45" s="62">
        <f>-F286</f>
        <v>-36498</v>
      </c>
      <c r="C45" s="62">
        <f>-I285</f>
        <v>-40254.720000000001</v>
      </c>
      <c r="E45" s="66">
        <v>42948</v>
      </c>
      <c r="F45" s="77">
        <f t="shared" si="7"/>
        <v>160</v>
      </c>
      <c r="G45" s="76">
        <f>+'2-REGISTRACIONES'!J7</f>
        <v>1206</v>
      </c>
      <c r="H45" s="3">
        <f t="shared" si="8"/>
        <v>192960</v>
      </c>
      <c r="I45" s="3">
        <f t="shared" si="9"/>
        <v>1.08</v>
      </c>
      <c r="J45" s="3">
        <f t="shared" si="10"/>
        <v>208396.80000000002</v>
      </c>
      <c r="L45" s="86"/>
      <c r="M45" s="85"/>
    </row>
    <row r="46" spans="1:16" x14ac:dyDescent="0.25">
      <c r="A46" t="s">
        <v>168</v>
      </c>
      <c r="B46" s="62">
        <f>-F300</f>
        <v>-62296.56</v>
      </c>
      <c r="C46" s="62">
        <f>-I299</f>
        <v>-68330.690100000007</v>
      </c>
      <c r="E46" s="66">
        <v>42979</v>
      </c>
      <c r="F46" s="77">
        <f t="shared" si="7"/>
        <v>159</v>
      </c>
      <c r="G46" s="76">
        <f>+'2-REGISTRACIONES'!K7</f>
        <v>1242</v>
      </c>
      <c r="H46" s="3">
        <f t="shared" si="8"/>
        <v>197478</v>
      </c>
      <c r="I46" s="3">
        <f t="shared" si="9"/>
        <v>1.06</v>
      </c>
      <c r="J46" s="3">
        <f t="shared" si="10"/>
        <v>209326.68000000002</v>
      </c>
      <c r="L46" s="86"/>
      <c r="M46" s="85"/>
    </row>
    <row r="47" spans="1:16" x14ac:dyDescent="0.25">
      <c r="A47" t="s">
        <v>169</v>
      </c>
      <c r="B47" s="62">
        <f>-F314</f>
        <v>-5470</v>
      </c>
      <c r="C47" s="62">
        <f>-I313</f>
        <v>-6045.7500000000009</v>
      </c>
      <c r="E47" s="66">
        <v>43009</v>
      </c>
      <c r="F47" s="77">
        <f t="shared" si="7"/>
        <v>163</v>
      </c>
      <c r="G47" s="76">
        <f>+'2-REGISTRACIONES'!L7</f>
        <v>1242</v>
      </c>
      <c r="H47" s="3">
        <f t="shared" si="8"/>
        <v>202446</v>
      </c>
      <c r="I47" s="3">
        <f t="shared" si="9"/>
        <v>1.05</v>
      </c>
      <c r="J47" s="3">
        <f t="shared" si="10"/>
        <v>212568.30000000002</v>
      </c>
      <c r="L47" s="86"/>
      <c r="M47" s="85"/>
    </row>
    <row r="48" spans="1:16" x14ac:dyDescent="0.25">
      <c r="A48" t="s">
        <v>170</v>
      </c>
      <c r="B48" s="62">
        <f>+'4-DETALLExMES'!AN49</f>
        <v>-8950.6</v>
      </c>
      <c r="C48" s="62">
        <f>H83</f>
        <v>-11188.25</v>
      </c>
      <c r="E48" s="66">
        <v>43040</v>
      </c>
      <c r="F48" s="77">
        <f t="shared" si="7"/>
        <v>169</v>
      </c>
      <c r="G48" s="76">
        <f>+'2-REGISTRACIONES'!M7</f>
        <v>1269</v>
      </c>
      <c r="H48" s="3">
        <f t="shared" si="8"/>
        <v>214461</v>
      </c>
      <c r="I48" s="3">
        <f t="shared" si="9"/>
        <v>1.03</v>
      </c>
      <c r="J48" s="3">
        <f t="shared" si="10"/>
        <v>220894.83000000002</v>
      </c>
      <c r="L48" s="86"/>
      <c r="M48" s="85"/>
    </row>
    <row r="49" spans="1:15" x14ac:dyDescent="0.25">
      <c r="A49" t="s">
        <v>171</v>
      </c>
      <c r="B49" s="62">
        <f>+'4-DETALLExMES'!AN50</f>
        <v>-9835.5</v>
      </c>
      <c r="C49" s="62">
        <f>+H79</f>
        <v>-12294.375</v>
      </c>
      <c r="E49" s="65">
        <v>43070</v>
      </c>
      <c r="F49" s="80">
        <f t="shared" si="7"/>
        <v>188</v>
      </c>
      <c r="G49" s="81">
        <f>+'2-REGISTRACIONES'!N7</f>
        <v>1314</v>
      </c>
      <c r="H49" s="50">
        <f t="shared" si="8"/>
        <v>247032</v>
      </c>
      <c r="I49" s="50">
        <v>1</v>
      </c>
      <c r="J49" s="3">
        <f t="shared" si="10"/>
        <v>247032</v>
      </c>
      <c r="K49" s="61">
        <f>SUM(J38:J49)</f>
        <v>2277689.67</v>
      </c>
      <c r="L49" s="88"/>
      <c r="M49" s="85"/>
    </row>
    <row r="50" spans="1:15" x14ac:dyDescent="0.25">
      <c r="A50" t="s">
        <v>172</v>
      </c>
      <c r="B50" s="62">
        <f>+'4-DETALLExMES'!AN51</f>
        <v>-4448.8000000000011</v>
      </c>
      <c r="C50" s="62">
        <f>+H75</f>
        <v>-5561.0000000000018</v>
      </c>
      <c r="E50" s="38"/>
      <c r="F50" s="81"/>
      <c r="G50" s="81"/>
      <c r="H50" s="50">
        <f>SUM(H38:H49)</f>
        <v>2076552</v>
      </c>
      <c r="I50" s="50"/>
      <c r="J50" s="50">
        <f t="shared" ref="J50" si="11">SUM(J38:J49)</f>
        <v>2277689.67</v>
      </c>
      <c r="L50" s="88" t="s">
        <v>229</v>
      </c>
      <c r="M50" s="60">
        <f>-J50+H50</f>
        <v>-201137.66999999993</v>
      </c>
      <c r="O50" s="3"/>
    </row>
    <row r="51" spans="1:15" x14ac:dyDescent="0.25">
      <c r="A51" t="s">
        <v>257</v>
      </c>
      <c r="B51" s="62">
        <v>0</v>
      </c>
      <c r="C51" s="129">
        <f>+I351</f>
        <v>-68109.356400000004</v>
      </c>
      <c r="E51" s="154" t="s">
        <v>193</v>
      </c>
      <c r="L51" s="86"/>
      <c r="M51" s="85"/>
    </row>
    <row r="52" spans="1:15" x14ac:dyDescent="0.25">
      <c r="A52" s="70" t="s">
        <v>176</v>
      </c>
      <c r="B52" s="71">
        <f>SUM(B23:B51)</f>
        <v>274422.48050000006</v>
      </c>
      <c r="C52" s="71">
        <f>SUM(C23:C51)</f>
        <v>131257.25550000003</v>
      </c>
      <c r="E52" s="65">
        <v>43070</v>
      </c>
      <c r="F52" s="75">
        <f>+'4-DETALLExMES'!AI69</f>
        <v>227435.89050000001</v>
      </c>
      <c r="G52" s="76">
        <v>1</v>
      </c>
      <c r="H52" s="3">
        <f>+F52*G52</f>
        <v>227435.89050000001</v>
      </c>
      <c r="L52" s="86"/>
      <c r="M52" s="85"/>
    </row>
    <row r="53" spans="1:15" x14ac:dyDescent="0.25">
      <c r="A53" s="44" t="s">
        <v>173</v>
      </c>
      <c r="B53" s="3">
        <f>-B52*0.35</f>
        <v>-96047.868175000011</v>
      </c>
      <c r="C53" s="3">
        <f>-C52*0.35</f>
        <v>-45940.03942500001</v>
      </c>
      <c r="E53" s="66">
        <v>43040</v>
      </c>
      <c r="F53" s="75">
        <f>+H48</f>
        <v>214461</v>
      </c>
      <c r="G53" s="76">
        <f>+'1-COEF REALES'!D32</f>
        <v>1.03</v>
      </c>
      <c r="H53" s="3">
        <f>+F53*G53</f>
        <v>220894.83000000002</v>
      </c>
      <c r="I53" s="61">
        <f>+H52-H53</f>
        <v>6541.0604999999923</v>
      </c>
      <c r="L53" s="86"/>
      <c r="M53" s="60"/>
    </row>
    <row r="54" spans="1:15" x14ac:dyDescent="0.25">
      <c r="A54" s="45" t="s">
        <v>174</v>
      </c>
      <c r="B54" s="61">
        <f>+B52+B53</f>
        <v>178374.61232500005</v>
      </c>
      <c r="C54" s="61">
        <f>+C52+C53</f>
        <v>85317.216075000018</v>
      </c>
      <c r="F54" s="76">
        <f>+F52-F53</f>
        <v>12974.890500000009</v>
      </c>
      <c r="H54" s="76">
        <f t="shared" ref="H54" si="12">+H52-H53</f>
        <v>6541.0604999999923</v>
      </c>
      <c r="L54" s="86" t="s">
        <v>230</v>
      </c>
      <c r="M54" s="60">
        <f>+F54-H54</f>
        <v>6433.8300000000163</v>
      </c>
    </row>
    <row r="55" spans="1:15" ht="15.75" thickBot="1" x14ac:dyDescent="0.3">
      <c r="B55" s="102">
        <f>+B22</f>
        <v>0</v>
      </c>
      <c r="C55" s="102">
        <f>+C22</f>
        <v>0</v>
      </c>
      <c r="E55" s="154" t="s">
        <v>194</v>
      </c>
      <c r="L55" s="86"/>
      <c r="M55" s="85"/>
    </row>
    <row r="56" spans="1:15" ht="15.75" thickBot="1" x14ac:dyDescent="0.3">
      <c r="A56" s="103"/>
      <c r="B56" s="104"/>
      <c r="C56" s="105"/>
      <c r="E56" s="66">
        <v>43040</v>
      </c>
      <c r="F56" s="76">
        <f>+'2-REGISTRACIONES'!M58+'2-REGISTRACIONES'!M60</f>
        <v>134577.45000000001</v>
      </c>
      <c r="G56" s="76">
        <f>+'1-COEF REALES'!D32</f>
        <v>1.03</v>
      </c>
      <c r="H56" s="3">
        <f>+F56*G56</f>
        <v>138614.77350000001</v>
      </c>
      <c r="L56" s="86"/>
      <c r="M56" s="85"/>
    </row>
    <row r="57" spans="1:15" x14ac:dyDescent="0.25">
      <c r="A57" s="93"/>
      <c r="E57" s="66">
        <v>43040</v>
      </c>
      <c r="F57" s="76">
        <f>+'2-REGISTRACIONES'!M58</f>
        <v>126900</v>
      </c>
      <c r="G57" s="76">
        <f>+G56</f>
        <v>1.03</v>
      </c>
      <c r="H57" s="3">
        <f>+F57*G57</f>
        <v>130707</v>
      </c>
      <c r="I57" s="61">
        <f>-H56+H57</f>
        <v>-7907.7735000000102</v>
      </c>
      <c r="L57" s="86"/>
      <c r="M57" s="85"/>
    </row>
    <row r="58" spans="1:15" x14ac:dyDescent="0.25">
      <c r="F58" s="76">
        <f>+F57-F56</f>
        <v>-7677.4500000000116</v>
      </c>
      <c r="H58" s="76">
        <f t="shared" ref="H58" si="13">+H57-H56</f>
        <v>-7907.7735000000102</v>
      </c>
      <c r="L58" s="86" t="s">
        <v>231</v>
      </c>
      <c r="M58" s="60">
        <f>-H58+F58</f>
        <v>230.3234999999986</v>
      </c>
    </row>
    <row r="59" spans="1:15" x14ac:dyDescent="0.25">
      <c r="E59" s="154" t="s">
        <v>123</v>
      </c>
      <c r="F59" s="3"/>
      <c r="G59" s="3"/>
      <c r="L59" s="86"/>
      <c r="M59" s="60"/>
    </row>
    <row r="60" spans="1:15" x14ac:dyDescent="0.25">
      <c r="C60" s="102"/>
      <c r="E60" s="66">
        <v>42736</v>
      </c>
      <c r="F60" s="76">
        <f>+'2-REGISTRACIONES'!C117</f>
        <v>1850</v>
      </c>
      <c r="G60" s="76">
        <f>+I38</f>
        <v>1.23</v>
      </c>
      <c r="H60" s="3">
        <f>+F60*G60</f>
        <v>2275.5</v>
      </c>
      <c r="L60" s="86"/>
      <c r="M60" s="60"/>
    </row>
    <row r="61" spans="1:15" x14ac:dyDescent="0.25">
      <c r="E61" s="66">
        <v>42767</v>
      </c>
      <c r="F61" s="76">
        <f>+'2-REGISTRACIONES'!D117</f>
        <v>2350</v>
      </c>
      <c r="G61" s="76">
        <f t="shared" ref="G61:G70" si="14">+I39</f>
        <v>1.2</v>
      </c>
      <c r="H61" s="3">
        <f t="shared" ref="H61:H71" si="15">+F61*G61</f>
        <v>2820</v>
      </c>
      <c r="L61" s="86"/>
      <c r="M61" s="85"/>
    </row>
    <row r="62" spans="1:15" x14ac:dyDescent="0.25">
      <c r="C62" s="61"/>
      <c r="E62" s="66">
        <v>42795</v>
      </c>
      <c r="F62" s="76">
        <f>+'2-REGISTRACIONES'!E117</f>
        <v>2001</v>
      </c>
      <c r="G62" s="76">
        <f t="shared" si="14"/>
        <v>1.18</v>
      </c>
      <c r="H62" s="3">
        <f t="shared" si="15"/>
        <v>2361.1799999999998</v>
      </c>
      <c r="L62" s="86"/>
      <c r="M62" s="85"/>
    </row>
    <row r="63" spans="1:15" x14ac:dyDescent="0.25">
      <c r="E63" s="66">
        <v>42826</v>
      </c>
      <c r="F63" s="76">
        <f>+'2-REGISTRACIONES'!F117</f>
        <v>1953</v>
      </c>
      <c r="G63" s="76">
        <f t="shared" si="14"/>
        <v>1.1499999999999999</v>
      </c>
      <c r="H63" s="3">
        <f t="shared" si="15"/>
        <v>2245.9499999999998</v>
      </c>
      <c r="L63" s="86"/>
      <c r="M63" s="85"/>
    </row>
    <row r="64" spans="1:15" x14ac:dyDescent="0.25">
      <c r="E64" s="66">
        <v>42856</v>
      </c>
      <c r="F64" s="76">
        <f>+'2-REGISTRACIONES'!G117</f>
        <v>2167</v>
      </c>
      <c r="G64" s="76">
        <f t="shared" si="14"/>
        <v>1.1299999999999999</v>
      </c>
      <c r="H64" s="3">
        <f t="shared" si="15"/>
        <v>2448.7099999999996</v>
      </c>
      <c r="L64" s="86"/>
      <c r="M64" s="85"/>
    </row>
    <row r="65" spans="5:14" x14ac:dyDescent="0.25">
      <c r="E65" s="66">
        <v>42887</v>
      </c>
      <c r="F65" s="76">
        <f>+'2-REGISTRACIONES'!H117</f>
        <v>2350</v>
      </c>
      <c r="G65" s="76">
        <f t="shared" si="14"/>
        <v>1.1200000000000001</v>
      </c>
      <c r="H65" s="3">
        <f t="shared" si="15"/>
        <v>2632.0000000000005</v>
      </c>
      <c r="L65" s="86"/>
      <c r="M65" s="85"/>
    </row>
    <row r="66" spans="5:14" x14ac:dyDescent="0.25">
      <c r="E66" s="66">
        <v>42917</v>
      </c>
      <c r="F66" s="76">
        <f>+'2-REGISTRACIONES'!I117</f>
        <v>1860</v>
      </c>
      <c r="G66" s="76">
        <f t="shared" si="14"/>
        <v>1.1000000000000001</v>
      </c>
      <c r="H66" s="3">
        <f t="shared" si="15"/>
        <v>2046.0000000000002</v>
      </c>
      <c r="L66" s="86"/>
      <c r="M66" s="85"/>
    </row>
    <row r="67" spans="5:14" x14ac:dyDescent="0.25">
      <c r="E67" s="66">
        <v>42948</v>
      </c>
      <c r="F67" s="76">
        <f>+'2-REGISTRACIONES'!J117</f>
        <v>2435</v>
      </c>
      <c r="G67" s="76">
        <f t="shared" si="14"/>
        <v>1.08</v>
      </c>
      <c r="H67" s="3">
        <f t="shared" si="15"/>
        <v>2629.8</v>
      </c>
      <c r="L67" s="86"/>
      <c r="M67" s="85"/>
    </row>
    <row r="68" spans="5:14" x14ac:dyDescent="0.25">
      <c r="E68" s="66">
        <v>42979</v>
      </c>
      <c r="F68" s="76">
        <f>+'2-REGISTRACIONES'!K117</f>
        <v>2567</v>
      </c>
      <c r="G68" s="76">
        <f t="shared" si="14"/>
        <v>1.06</v>
      </c>
      <c r="H68" s="3">
        <f t="shared" si="15"/>
        <v>2721.02</v>
      </c>
      <c r="L68" s="86"/>
      <c r="M68" s="85"/>
    </row>
    <row r="69" spans="5:14" x14ac:dyDescent="0.25">
      <c r="E69" s="66">
        <v>43009</v>
      </c>
      <c r="F69" s="76">
        <f>+'2-REGISTRACIONES'!L117</f>
        <v>2633</v>
      </c>
      <c r="G69" s="76">
        <f t="shared" si="14"/>
        <v>1.05</v>
      </c>
      <c r="H69" s="3">
        <f t="shared" si="15"/>
        <v>2764.65</v>
      </c>
      <c r="L69" s="86"/>
      <c r="M69" s="85"/>
    </row>
    <row r="70" spans="5:14" x14ac:dyDescent="0.25">
      <c r="E70" s="66">
        <v>43040</v>
      </c>
      <c r="F70" s="76">
        <f>+'2-REGISTRACIONES'!M117</f>
        <v>2756</v>
      </c>
      <c r="G70" s="76">
        <f t="shared" si="14"/>
        <v>1.03</v>
      </c>
      <c r="H70" s="3">
        <f t="shared" si="15"/>
        <v>2838.6800000000003</v>
      </c>
      <c r="L70" s="86"/>
      <c r="M70" s="85"/>
    </row>
    <row r="71" spans="5:14" x14ac:dyDescent="0.25">
      <c r="E71" s="65">
        <v>43070</v>
      </c>
      <c r="F71" s="76">
        <f>+'2-REGISTRACIONES'!N117</f>
        <v>2890</v>
      </c>
      <c r="G71" s="81">
        <v>1</v>
      </c>
      <c r="H71" s="3">
        <f t="shared" si="15"/>
        <v>2890</v>
      </c>
      <c r="I71" s="61">
        <f>SUM(H60:H71)</f>
        <v>30673.49</v>
      </c>
      <c r="L71" s="86"/>
      <c r="M71" s="85"/>
    </row>
    <row r="72" spans="5:14" x14ac:dyDescent="0.25">
      <c r="F72" s="76">
        <f>SUM(F60:F71)</f>
        <v>27812</v>
      </c>
      <c r="H72" s="3">
        <f>SUM(H60:H71)</f>
        <v>30673.49</v>
      </c>
      <c r="L72" s="86" t="s">
        <v>232</v>
      </c>
      <c r="M72" s="60">
        <f>+H72-F72</f>
        <v>2861.4900000000016</v>
      </c>
    </row>
    <row r="73" spans="5:14" x14ac:dyDescent="0.25">
      <c r="E73" s="154" t="s">
        <v>98</v>
      </c>
      <c r="L73" s="86"/>
      <c r="M73" s="85"/>
    </row>
    <row r="74" spans="5:14" x14ac:dyDescent="0.25">
      <c r="E74" s="82">
        <v>42705</v>
      </c>
      <c r="F74" s="76">
        <f>+'2-REGISTRACIONES'!B51</f>
        <v>22244</v>
      </c>
      <c r="G74" s="76">
        <f>+'1-COEF REALES'!D21</f>
        <v>1.25</v>
      </c>
      <c r="H74" s="3">
        <f>+F74*G74</f>
        <v>27805</v>
      </c>
      <c r="L74" s="86"/>
      <c r="M74" s="85"/>
    </row>
    <row r="75" spans="5:14" x14ac:dyDescent="0.25">
      <c r="E75" s="4" t="s">
        <v>195</v>
      </c>
      <c r="F75" s="76">
        <f>B50</f>
        <v>-4448.8000000000011</v>
      </c>
      <c r="G75" s="76">
        <f>+G74</f>
        <v>1.25</v>
      </c>
      <c r="H75" s="61">
        <f>+F75*G75</f>
        <v>-5561.0000000000018</v>
      </c>
      <c r="I75" s="61">
        <f>SUM(H74:H75)</f>
        <v>22244</v>
      </c>
      <c r="L75" s="86"/>
      <c r="M75" s="85"/>
    </row>
    <row r="76" spans="5:14" x14ac:dyDescent="0.25">
      <c r="F76" s="76">
        <f>SUM(F74:F75)</f>
        <v>17795.199999999997</v>
      </c>
      <c r="H76" s="3">
        <f>SUM(H74:H75)</f>
        <v>22244</v>
      </c>
      <c r="L76" s="88" t="s">
        <v>225</v>
      </c>
      <c r="M76" s="60">
        <f>+H76-F76</f>
        <v>4448.8000000000029</v>
      </c>
    </row>
    <row r="77" spans="5:14" x14ac:dyDescent="0.25">
      <c r="E77" s="154" t="s">
        <v>196</v>
      </c>
      <c r="L77" s="86" t="s">
        <v>250</v>
      </c>
      <c r="M77" s="60">
        <f>-H75+F75</f>
        <v>1112.2000000000007</v>
      </c>
      <c r="N77" s="3">
        <f>+M76+M77</f>
        <v>5561.0000000000036</v>
      </c>
    </row>
    <row r="78" spans="5:14" x14ac:dyDescent="0.25">
      <c r="E78" s="82">
        <v>42705</v>
      </c>
      <c r="F78" s="76">
        <f>+'2-REGISTRACIONES'!B52</f>
        <v>98355</v>
      </c>
      <c r="G78" s="76">
        <f>+G74</f>
        <v>1.25</v>
      </c>
      <c r="H78" s="3">
        <f>+F78*G78</f>
        <v>122943.75</v>
      </c>
      <c r="L78" s="86"/>
      <c r="M78" s="85"/>
    </row>
    <row r="79" spans="5:14" x14ac:dyDescent="0.25">
      <c r="E79" s="4" t="s">
        <v>195</v>
      </c>
      <c r="F79" s="76">
        <f>+B49</f>
        <v>-9835.5</v>
      </c>
      <c r="G79" s="76">
        <f>+G74</f>
        <v>1.25</v>
      </c>
      <c r="H79" s="61">
        <f>+F79*G79</f>
        <v>-12294.375</v>
      </c>
      <c r="I79" s="61">
        <f>SUM(H78:H79)</f>
        <v>110649.375</v>
      </c>
      <c r="L79" s="86"/>
      <c r="M79" s="85"/>
    </row>
    <row r="80" spans="5:14" x14ac:dyDescent="0.25">
      <c r="F80" s="76">
        <f>SUM(F78:F79)</f>
        <v>88519.5</v>
      </c>
      <c r="H80" s="3">
        <f>SUM(H78:H79)</f>
        <v>110649.375</v>
      </c>
      <c r="L80" s="86" t="s">
        <v>226</v>
      </c>
      <c r="M80" s="60">
        <f>+H80-F80</f>
        <v>22129.875</v>
      </c>
      <c r="N80" s="3">
        <f>+M80+M81</f>
        <v>24588.75</v>
      </c>
    </row>
    <row r="81" spans="5:14" x14ac:dyDescent="0.25">
      <c r="E81" s="154" t="s">
        <v>197</v>
      </c>
      <c r="L81" s="86" t="s">
        <v>250</v>
      </c>
      <c r="M81" s="60">
        <f>-H79+F79</f>
        <v>2458.875</v>
      </c>
    </row>
    <row r="82" spans="5:14" x14ac:dyDescent="0.25">
      <c r="E82" s="82">
        <v>42705</v>
      </c>
      <c r="F82" s="76">
        <f>+'2-REGISTRACIONES'!B53</f>
        <v>44753</v>
      </c>
      <c r="G82" s="76">
        <f>+G74</f>
        <v>1.25</v>
      </c>
      <c r="H82" s="3">
        <f>+F82*G82</f>
        <v>55941.25</v>
      </c>
      <c r="L82" s="86"/>
      <c r="M82" s="85"/>
    </row>
    <row r="83" spans="5:14" x14ac:dyDescent="0.25">
      <c r="E83" s="4" t="s">
        <v>195</v>
      </c>
      <c r="F83" s="2">
        <f>+B48</f>
        <v>-8950.6</v>
      </c>
      <c r="G83" s="76">
        <f>+G74</f>
        <v>1.25</v>
      </c>
      <c r="H83" s="61">
        <f>+F83*G83</f>
        <v>-11188.25</v>
      </c>
      <c r="I83" s="61">
        <f>SUM(H82:H83)</f>
        <v>44753</v>
      </c>
      <c r="L83" s="86"/>
      <c r="M83" s="85"/>
    </row>
    <row r="84" spans="5:14" x14ac:dyDescent="0.25">
      <c r="E84" s="1"/>
      <c r="F84" s="2">
        <f>SUM(F82:F83)</f>
        <v>35802.400000000001</v>
      </c>
      <c r="H84" s="3">
        <f>SUM(H82:H83)</f>
        <v>44753</v>
      </c>
      <c r="L84" s="86" t="s">
        <v>227</v>
      </c>
      <c r="M84" s="60">
        <f>+H84-F84</f>
        <v>8950.5999999999985</v>
      </c>
      <c r="N84" s="3">
        <f>+M84+M85</f>
        <v>11188.249999999998</v>
      </c>
    </row>
    <row r="85" spans="5:14" x14ac:dyDescent="0.25">
      <c r="E85" s="154" t="s">
        <v>3</v>
      </c>
      <c r="L85" s="86" t="s">
        <v>250</v>
      </c>
      <c r="M85" s="60">
        <f>-H83+F83</f>
        <v>2237.6499999999996</v>
      </c>
    </row>
    <row r="86" spans="5:14" x14ac:dyDescent="0.25">
      <c r="E86" s="82">
        <v>42705</v>
      </c>
      <c r="F86" s="284">
        <f>-'2-REGISTRACIONES'!B54</f>
        <v>714778</v>
      </c>
      <c r="G86" s="76">
        <f>+G74</f>
        <v>1.25</v>
      </c>
      <c r="H86" s="83">
        <f>+F86*G86</f>
        <v>893472.5</v>
      </c>
      <c r="I86" s="61">
        <f>+H86-F86</f>
        <v>178694.5</v>
      </c>
      <c r="L86" s="86" t="s">
        <v>228</v>
      </c>
      <c r="M86" s="60">
        <f>-I86</f>
        <v>-178694.5</v>
      </c>
    </row>
    <row r="87" spans="5:14" x14ac:dyDescent="0.25">
      <c r="L87" s="86"/>
      <c r="M87" s="85"/>
    </row>
    <row r="88" spans="5:14" x14ac:dyDescent="0.25">
      <c r="E88" s="154" t="s">
        <v>103</v>
      </c>
      <c r="L88" s="86"/>
      <c r="M88" s="85"/>
    </row>
    <row r="89" spans="5:14" x14ac:dyDescent="0.25">
      <c r="E89" s="66">
        <v>42736</v>
      </c>
      <c r="F89" s="76">
        <f>+'2-REGISTRACIONES'!C$70</f>
        <v>8000</v>
      </c>
      <c r="G89" s="3">
        <f>+G60</f>
        <v>1.23</v>
      </c>
      <c r="H89" s="3">
        <f>+F89*G89</f>
        <v>9840</v>
      </c>
      <c r="L89" s="86"/>
      <c r="M89" s="85"/>
    </row>
    <row r="90" spans="5:14" x14ac:dyDescent="0.25">
      <c r="E90" s="66">
        <v>42767</v>
      </c>
      <c r="F90" s="76">
        <f>+'2-REGISTRACIONES'!D$70</f>
        <v>8000</v>
      </c>
      <c r="G90" s="3">
        <f t="shared" ref="G90:G99" si="16">+G61</f>
        <v>1.2</v>
      </c>
      <c r="H90" s="3">
        <f t="shared" ref="H90:H100" si="17">+F90*G90</f>
        <v>9600</v>
      </c>
      <c r="L90" s="86"/>
      <c r="M90" s="85"/>
    </row>
    <row r="91" spans="5:14" x14ac:dyDescent="0.25">
      <c r="E91" s="66">
        <v>42795</v>
      </c>
      <c r="F91" s="76">
        <f>+'2-REGISTRACIONES'!E$70</f>
        <v>8000</v>
      </c>
      <c r="G91" s="3">
        <f t="shared" si="16"/>
        <v>1.18</v>
      </c>
      <c r="H91" s="3">
        <f t="shared" si="17"/>
        <v>9440</v>
      </c>
      <c r="L91" s="86"/>
      <c r="M91" s="85"/>
    </row>
    <row r="92" spans="5:14" x14ac:dyDescent="0.25">
      <c r="E92" s="66">
        <v>42826</v>
      </c>
      <c r="F92" s="76">
        <f>+'2-REGISTRACIONES'!F$70</f>
        <v>8000</v>
      </c>
      <c r="G92" s="3">
        <f t="shared" si="16"/>
        <v>1.1499999999999999</v>
      </c>
      <c r="H92" s="3">
        <f t="shared" si="17"/>
        <v>9200</v>
      </c>
      <c r="L92" s="86"/>
      <c r="M92" s="85"/>
    </row>
    <row r="93" spans="5:14" x14ac:dyDescent="0.25">
      <c r="E93" s="66">
        <v>42856</v>
      </c>
      <c r="F93" s="76">
        <f>+'2-REGISTRACIONES'!G$70</f>
        <v>8000</v>
      </c>
      <c r="G93" s="3">
        <f t="shared" si="16"/>
        <v>1.1299999999999999</v>
      </c>
      <c r="H93" s="3">
        <f t="shared" si="17"/>
        <v>9040</v>
      </c>
      <c r="L93" s="86"/>
      <c r="M93" s="85"/>
    </row>
    <row r="94" spans="5:14" x14ac:dyDescent="0.25">
      <c r="E94" s="66">
        <v>42887</v>
      </c>
      <c r="F94" s="76">
        <f>+'2-REGISTRACIONES'!H$70</f>
        <v>8000</v>
      </c>
      <c r="G94" s="3">
        <f t="shared" si="16"/>
        <v>1.1200000000000001</v>
      </c>
      <c r="H94" s="3">
        <f t="shared" si="17"/>
        <v>8960</v>
      </c>
      <c r="L94" s="86"/>
      <c r="M94" s="85"/>
    </row>
    <row r="95" spans="5:14" x14ac:dyDescent="0.25">
      <c r="E95" s="66">
        <v>42917</v>
      </c>
      <c r="F95" s="76">
        <f>+'2-REGISTRACIONES'!I$70</f>
        <v>8800</v>
      </c>
      <c r="G95" s="3">
        <f t="shared" si="16"/>
        <v>1.1000000000000001</v>
      </c>
      <c r="H95" s="3">
        <f t="shared" si="17"/>
        <v>9680</v>
      </c>
      <c r="L95" s="86"/>
      <c r="M95" s="85"/>
    </row>
    <row r="96" spans="5:14" x14ac:dyDescent="0.25">
      <c r="E96" s="66">
        <v>42948</v>
      </c>
      <c r="F96" s="76">
        <f>+'2-REGISTRACIONES'!J$70</f>
        <v>8800</v>
      </c>
      <c r="G96" s="3">
        <f t="shared" si="16"/>
        <v>1.08</v>
      </c>
      <c r="H96" s="3">
        <f t="shared" si="17"/>
        <v>9504</v>
      </c>
      <c r="L96" s="86"/>
      <c r="M96" s="85"/>
    </row>
    <row r="97" spans="5:13" x14ac:dyDescent="0.25">
      <c r="E97" s="66">
        <v>42979</v>
      </c>
      <c r="F97" s="76">
        <f>+'2-REGISTRACIONES'!K$70</f>
        <v>8800</v>
      </c>
      <c r="G97" s="3">
        <f t="shared" si="16"/>
        <v>1.06</v>
      </c>
      <c r="H97" s="3">
        <f t="shared" si="17"/>
        <v>9328</v>
      </c>
      <c r="L97" s="86"/>
      <c r="M97" s="85"/>
    </row>
    <row r="98" spans="5:13" x14ac:dyDescent="0.25">
      <c r="E98" s="66">
        <v>43009</v>
      </c>
      <c r="F98" s="76">
        <f>+'2-REGISTRACIONES'!L$70</f>
        <v>8800</v>
      </c>
      <c r="G98" s="3">
        <f t="shared" si="16"/>
        <v>1.05</v>
      </c>
      <c r="H98" s="3">
        <f t="shared" si="17"/>
        <v>9240</v>
      </c>
      <c r="L98" s="86"/>
      <c r="M98" s="85"/>
    </row>
    <row r="99" spans="5:13" x14ac:dyDescent="0.25">
      <c r="E99" s="66">
        <v>43040</v>
      </c>
      <c r="F99" s="76">
        <f>+'2-REGISTRACIONES'!M$70</f>
        <v>8800</v>
      </c>
      <c r="G99" s="3">
        <f t="shared" si="16"/>
        <v>1.03</v>
      </c>
      <c r="H99" s="3">
        <f t="shared" si="17"/>
        <v>9064</v>
      </c>
      <c r="L99" s="86"/>
      <c r="M99" s="85"/>
    </row>
    <row r="100" spans="5:13" x14ac:dyDescent="0.25">
      <c r="E100" s="65">
        <v>43070</v>
      </c>
      <c r="F100" s="76">
        <f>+'2-REGISTRACIONES'!N$70</f>
        <v>8800</v>
      </c>
      <c r="G100" s="50">
        <v>1</v>
      </c>
      <c r="H100" s="3">
        <f t="shared" si="17"/>
        <v>8800</v>
      </c>
      <c r="I100" s="61">
        <f>SUM(H89:H100)</f>
        <v>111696</v>
      </c>
      <c r="L100" s="86"/>
      <c r="M100" s="85"/>
    </row>
    <row r="101" spans="5:13" x14ac:dyDescent="0.25">
      <c r="F101" s="76">
        <f>SUM(F89:F100)</f>
        <v>100800</v>
      </c>
      <c r="H101" s="76">
        <f t="shared" ref="H101" si="18">SUM(H89:H100)</f>
        <v>111696</v>
      </c>
      <c r="L101" s="86" t="s">
        <v>233</v>
      </c>
      <c r="M101" s="60">
        <f>+H101-F101</f>
        <v>10896</v>
      </c>
    </row>
    <row r="102" spans="5:13" x14ac:dyDescent="0.25">
      <c r="E102" s="154" t="s">
        <v>198</v>
      </c>
      <c r="L102" s="86"/>
      <c r="M102" s="85"/>
    </row>
    <row r="103" spans="5:13" x14ac:dyDescent="0.25">
      <c r="E103" s="66">
        <v>42736</v>
      </c>
      <c r="F103" s="76">
        <f>+'2-REGISTRACIONES'!C$125</f>
        <v>150</v>
      </c>
      <c r="G103" s="3">
        <f>+G89</f>
        <v>1.23</v>
      </c>
      <c r="H103" s="3">
        <f>+F103*G103</f>
        <v>184.5</v>
      </c>
      <c r="L103" s="86"/>
      <c r="M103" s="60"/>
    </row>
    <row r="104" spans="5:13" x14ac:dyDescent="0.25">
      <c r="E104" s="66">
        <v>42767</v>
      </c>
      <c r="F104" s="76">
        <f>+'2-REGISTRACIONES'!D$125</f>
        <v>150</v>
      </c>
      <c r="G104" s="3">
        <f t="shared" ref="G104:G113" si="19">+G90</f>
        <v>1.2</v>
      </c>
      <c r="H104" s="3">
        <f t="shared" ref="H104:H114" si="20">+F104*G104</f>
        <v>180</v>
      </c>
      <c r="L104" s="86"/>
      <c r="M104" s="85"/>
    </row>
    <row r="105" spans="5:13" x14ac:dyDescent="0.25">
      <c r="E105" s="66">
        <v>42795</v>
      </c>
      <c r="F105" s="76">
        <f>+'2-REGISTRACIONES'!E$125</f>
        <v>150</v>
      </c>
      <c r="G105" s="3">
        <f t="shared" si="19"/>
        <v>1.18</v>
      </c>
      <c r="H105" s="3">
        <f t="shared" si="20"/>
        <v>177</v>
      </c>
      <c r="L105" s="86"/>
      <c r="M105" s="85"/>
    </row>
    <row r="106" spans="5:13" x14ac:dyDescent="0.25">
      <c r="E106" s="66">
        <v>42826</v>
      </c>
      <c r="F106" s="76">
        <f>+'2-REGISTRACIONES'!F$125</f>
        <v>150</v>
      </c>
      <c r="G106" s="3">
        <f t="shared" si="19"/>
        <v>1.1499999999999999</v>
      </c>
      <c r="H106" s="3">
        <f t="shared" si="20"/>
        <v>172.5</v>
      </c>
      <c r="L106" s="86"/>
      <c r="M106" s="85"/>
    </row>
    <row r="107" spans="5:13" x14ac:dyDescent="0.25">
      <c r="E107" s="66">
        <v>42856</v>
      </c>
      <c r="F107" s="76">
        <f>+'2-REGISTRACIONES'!G$125</f>
        <v>150</v>
      </c>
      <c r="G107" s="3">
        <f t="shared" si="19"/>
        <v>1.1299999999999999</v>
      </c>
      <c r="H107" s="3">
        <f t="shared" si="20"/>
        <v>169.49999999999997</v>
      </c>
      <c r="L107" s="86"/>
      <c r="M107" s="85"/>
    </row>
    <row r="108" spans="5:13" x14ac:dyDescent="0.25">
      <c r="E108" s="66">
        <v>42887</v>
      </c>
      <c r="F108" s="76">
        <f>+'2-REGISTRACIONES'!H$125</f>
        <v>150</v>
      </c>
      <c r="G108" s="3">
        <f t="shared" si="19"/>
        <v>1.1200000000000001</v>
      </c>
      <c r="H108" s="3">
        <f t="shared" si="20"/>
        <v>168.00000000000003</v>
      </c>
      <c r="L108" s="86"/>
      <c r="M108" s="85"/>
    </row>
    <row r="109" spans="5:13" x14ac:dyDescent="0.25">
      <c r="E109" s="66">
        <v>42917</v>
      </c>
      <c r="F109" s="76">
        <f>+'2-REGISTRACIONES'!I$125</f>
        <v>150</v>
      </c>
      <c r="G109" s="3">
        <f t="shared" si="19"/>
        <v>1.1000000000000001</v>
      </c>
      <c r="H109" s="3">
        <f t="shared" si="20"/>
        <v>165</v>
      </c>
      <c r="L109" s="86"/>
      <c r="M109" s="85"/>
    </row>
    <row r="110" spans="5:13" x14ac:dyDescent="0.25">
      <c r="E110" s="66">
        <v>42948</v>
      </c>
      <c r="F110" s="76">
        <f>+'2-REGISTRACIONES'!J$125</f>
        <v>150</v>
      </c>
      <c r="G110" s="3">
        <f t="shared" si="19"/>
        <v>1.08</v>
      </c>
      <c r="H110" s="3">
        <f t="shared" si="20"/>
        <v>162</v>
      </c>
      <c r="L110" s="86"/>
      <c r="M110" s="85"/>
    </row>
    <row r="111" spans="5:13" x14ac:dyDescent="0.25">
      <c r="E111" s="66">
        <v>42979</v>
      </c>
      <c r="F111" s="76">
        <f>+'2-REGISTRACIONES'!K$125</f>
        <v>180</v>
      </c>
      <c r="G111" s="3">
        <f t="shared" si="19"/>
        <v>1.06</v>
      </c>
      <c r="H111" s="3">
        <f t="shared" si="20"/>
        <v>190.8</v>
      </c>
      <c r="L111" s="86"/>
      <c r="M111" s="85"/>
    </row>
    <row r="112" spans="5:13" x14ac:dyDescent="0.25">
      <c r="E112" s="66">
        <v>43009</v>
      </c>
      <c r="F112" s="76">
        <f>+'2-REGISTRACIONES'!L$125</f>
        <v>180</v>
      </c>
      <c r="G112" s="3">
        <f t="shared" si="19"/>
        <v>1.05</v>
      </c>
      <c r="H112" s="3">
        <f t="shared" si="20"/>
        <v>189</v>
      </c>
      <c r="L112" s="86"/>
      <c r="M112" s="85"/>
    </row>
    <row r="113" spans="5:13" x14ac:dyDescent="0.25">
      <c r="E113" s="66">
        <v>43040</v>
      </c>
      <c r="F113" s="76">
        <f>+'2-REGISTRACIONES'!M$125</f>
        <v>180</v>
      </c>
      <c r="G113" s="3">
        <f t="shared" si="19"/>
        <v>1.03</v>
      </c>
      <c r="H113" s="3">
        <f t="shared" si="20"/>
        <v>185.4</v>
      </c>
      <c r="L113" s="86"/>
      <c r="M113" s="85"/>
    </row>
    <row r="114" spans="5:13" x14ac:dyDescent="0.25">
      <c r="E114" s="65">
        <v>43070</v>
      </c>
      <c r="F114" s="76">
        <f>+'2-REGISTRACIONES'!N$125</f>
        <v>180</v>
      </c>
      <c r="G114" s="50">
        <v>1</v>
      </c>
      <c r="H114" s="3">
        <f t="shared" si="20"/>
        <v>180</v>
      </c>
      <c r="I114" s="61">
        <f>SUM(H103:H114)</f>
        <v>2123.6999999999998</v>
      </c>
      <c r="L114" s="86"/>
      <c r="M114" s="85"/>
    </row>
    <row r="115" spans="5:13" x14ac:dyDescent="0.25">
      <c r="F115" s="76">
        <f>SUM(F103:F114)</f>
        <v>1920</v>
      </c>
      <c r="H115" s="76">
        <f t="shared" ref="H115" si="21">SUM(H103:H114)</f>
        <v>2123.6999999999998</v>
      </c>
      <c r="L115" s="86" t="s">
        <v>234</v>
      </c>
      <c r="M115" s="60">
        <f>+H115-F115</f>
        <v>203.69999999999982</v>
      </c>
    </row>
    <row r="116" spans="5:13" x14ac:dyDescent="0.25">
      <c r="E116" s="154" t="s">
        <v>199</v>
      </c>
      <c r="L116" s="86"/>
      <c r="M116" s="85"/>
    </row>
    <row r="117" spans="5:13" x14ac:dyDescent="0.25">
      <c r="E117" s="66">
        <v>42736</v>
      </c>
      <c r="F117" s="76">
        <f>+'2-REGISTRACIONES'!C86</f>
        <v>12689</v>
      </c>
      <c r="G117" s="3">
        <f>+G103</f>
        <v>1.23</v>
      </c>
      <c r="H117" s="61">
        <f>+F117*G117</f>
        <v>15607.47</v>
      </c>
      <c r="L117" s="86" t="s">
        <v>235</v>
      </c>
      <c r="M117" s="60">
        <f>+H117-F117</f>
        <v>2918.4699999999993</v>
      </c>
    </row>
    <row r="118" spans="5:13" x14ac:dyDescent="0.25">
      <c r="L118" s="86"/>
      <c r="M118" s="85"/>
    </row>
    <row r="119" spans="5:13" x14ac:dyDescent="0.25">
      <c r="E119" s="154" t="s">
        <v>200</v>
      </c>
      <c r="L119" s="86"/>
      <c r="M119" s="85"/>
    </row>
    <row r="120" spans="5:13" x14ac:dyDescent="0.25">
      <c r="E120" s="66">
        <v>42736</v>
      </c>
      <c r="F120" s="76">
        <f>+'2-REGISTRACIONES'!C$90</f>
        <v>3267</v>
      </c>
      <c r="G120" s="3">
        <f>+G103</f>
        <v>1.23</v>
      </c>
      <c r="H120" s="3">
        <f>+F120*G120</f>
        <v>4018.41</v>
      </c>
      <c r="L120" s="86"/>
      <c r="M120" s="85"/>
    </row>
    <row r="121" spans="5:13" x14ac:dyDescent="0.25">
      <c r="E121" s="66">
        <v>42767</v>
      </c>
      <c r="F121" s="76">
        <f>+'2-REGISTRACIONES'!D$90</f>
        <v>2013</v>
      </c>
      <c r="G121" s="3">
        <f t="shared" ref="G121:G130" si="22">+G104</f>
        <v>1.2</v>
      </c>
      <c r="H121" s="3">
        <f t="shared" ref="H121:H131" si="23">+F121*G121</f>
        <v>2415.6</v>
      </c>
      <c r="L121" s="86"/>
      <c r="M121" s="85"/>
    </row>
    <row r="122" spans="5:13" x14ac:dyDescent="0.25">
      <c r="E122" s="66">
        <v>42795</v>
      </c>
      <c r="F122" s="76">
        <f>+'2-REGISTRACIONES'!E$90</f>
        <v>1867</v>
      </c>
      <c r="G122" s="3">
        <f t="shared" si="22"/>
        <v>1.18</v>
      </c>
      <c r="H122" s="3">
        <f t="shared" si="23"/>
        <v>2203.06</v>
      </c>
      <c r="L122" s="86"/>
      <c r="M122" s="85"/>
    </row>
    <row r="123" spans="5:13" x14ac:dyDescent="0.25">
      <c r="E123" s="66">
        <v>42826</v>
      </c>
      <c r="F123" s="76">
        <f>+'2-REGISTRACIONES'!F$90</f>
        <v>1570</v>
      </c>
      <c r="G123" s="3">
        <f t="shared" si="22"/>
        <v>1.1499999999999999</v>
      </c>
      <c r="H123" s="3">
        <f t="shared" si="23"/>
        <v>1805.4999999999998</v>
      </c>
      <c r="L123" s="86"/>
      <c r="M123" s="85"/>
    </row>
    <row r="124" spans="5:13" x14ac:dyDescent="0.25">
      <c r="E124" s="66">
        <v>42856</v>
      </c>
      <c r="F124" s="76">
        <f>+'2-REGISTRACIONES'!G$90</f>
        <v>1326</v>
      </c>
      <c r="G124" s="3">
        <f t="shared" si="22"/>
        <v>1.1299999999999999</v>
      </c>
      <c r="H124" s="3">
        <f t="shared" si="23"/>
        <v>1498.3799999999999</v>
      </c>
      <c r="L124" s="86"/>
      <c r="M124" s="85"/>
    </row>
    <row r="125" spans="5:13" x14ac:dyDescent="0.25">
      <c r="E125" s="66">
        <v>42887</v>
      </c>
      <c r="F125" s="76">
        <f>+'2-REGISTRACIONES'!H$90</f>
        <v>1426</v>
      </c>
      <c r="G125" s="3">
        <f t="shared" si="22"/>
        <v>1.1200000000000001</v>
      </c>
      <c r="H125" s="3">
        <f t="shared" si="23"/>
        <v>1597.1200000000001</v>
      </c>
      <c r="L125" s="86"/>
      <c r="M125" s="85"/>
    </row>
    <row r="126" spans="5:13" x14ac:dyDescent="0.25">
      <c r="E126" s="66">
        <v>42917</v>
      </c>
      <c r="F126" s="76">
        <f>+'2-REGISTRACIONES'!I$90</f>
        <v>1244</v>
      </c>
      <c r="G126" s="3">
        <f t="shared" si="22"/>
        <v>1.1000000000000001</v>
      </c>
      <c r="H126" s="3">
        <f t="shared" si="23"/>
        <v>1368.4</v>
      </c>
      <c r="L126" s="86"/>
      <c r="M126" s="85"/>
    </row>
    <row r="127" spans="5:13" x14ac:dyDescent="0.25">
      <c r="E127" s="66">
        <v>42948</v>
      </c>
      <c r="F127" s="76">
        <f>+'2-REGISTRACIONES'!J$90</f>
        <v>1305</v>
      </c>
      <c r="G127" s="3">
        <f t="shared" si="22"/>
        <v>1.08</v>
      </c>
      <c r="H127" s="3">
        <f t="shared" si="23"/>
        <v>1409.4</v>
      </c>
      <c r="L127" s="86"/>
      <c r="M127" s="85"/>
    </row>
    <row r="128" spans="5:13" x14ac:dyDescent="0.25">
      <c r="E128" s="66">
        <v>42979</v>
      </c>
      <c r="F128" s="76">
        <f>+'2-REGISTRACIONES'!K$90</f>
        <v>1156</v>
      </c>
      <c r="G128" s="3">
        <f t="shared" si="22"/>
        <v>1.06</v>
      </c>
      <c r="H128" s="3">
        <f t="shared" si="23"/>
        <v>1225.3600000000001</v>
      </c>
      <c r="L128" s="86"/>
      <c r="M128" s="85"/>
    </row>
    <row r="129" spans="5:13" x14ac:dyDescent="0.25">
      <c r="E129" s="66">
        <v>43009</v>
      </c>
      <c r="F129" s="76">
        <f>+'2-REGISTRACIONES'!L$90</f>
        <v>1377</v>
      </c>
      <c r="G129" s="3">
        <f t="shared" si="22"/>
        <v>1.05</v>
      </c>
      <c r="H129" s="3">
        <f t="shared" si="23"/>
        <v>1445.8500000000001</v>
      </c>
      <c r="L129" s="86"/>
      <c r="M129" s="85"/>
    </row>
    <row r="130" spans="5:13" x14ac:dyDescent="0.25">
      <c r="E130" s="66">
        <v>43040</v>
      </c>
      <c r="F130" s="76">
        <f>+'2-REGISTRACIONES'!M$90</f>
        <v>1267</v>
      </c>
      <c r="G130" s="3">
        <f t="shared" si="22"/>
        <v>1.03</v>
      </c>
      <c r="H130" s="3">
        <f t="shared" si="23"/>
        <v>1305.01</v>
      </c>
      <c r="L130" s="86"/>
      <c r="M130" s="85"/>
    </row>
    <row r="131" spans="5:13" x14ac:dyDescent="0.25">
      <c r="E131" s="65">
        <v>43070</v>
      </c>
      <c r="F131" s="76">
        <f>+'2-REGISTRACIONES'!N$90</f>
        <v>1687</v>
      </c>
      <c r="G131" s="50">
        <v>1</v>
      </c>
      <c r="H131" s="3">
        <f t="shared" si="23"/>
        <v>1687</v>
      </c>
      <c r="I131" s="61">
        <f>SUM(H120:H131)</f>
        <v>21979.089999999997</v>
      </c>
      <c r="L131" s="86"/>
      <c r="M131" s="85"/>
    </row>
    <row r="132" spans="5:13" x14ac:dyDescent="0.25">
      <c r="F132" s="76">
        <f>SUM(F120:F131)</f>
        <v>19505</v>
      </c>
      <c r="H132" s="76">
        <f t="shared" ref="H132" si="24">SUM(H120:H131)</f>
        <v>21979.089999999997</v>
      </c>
      <c r="L132" s="86" t="s">
        <v>236</v>
      </c>
      <c r="M132" s="60">
        <f>+H132-F132</f>
        <v>2474.0899999999965</v>
      </c>
    </row>
    <row r="133" spans="5:13" x14ac:dyDescent="0.25">
      <c r="E133" s="154" t="s">
        <v>201</v>
      </c>
      <c r="L133" s="86"/>
      <c r="M133" s="85"/>
    </row>
    <row r="134" spans="5:13" x14ac:dyDescent="0.25">
      <c r="E134" s="66">
        <v>42736</v>
      </c>
      <c r="F134" s="76">
        <f>+'2-REGISTRACIONES'!C$103</f>
        <v>1650</v>
      </c>
      <c r="G134" s="3">
        <f>+G120</f>
        <v>1.23</v>
      </c>
      <c r="H134" s="3">
        <f>+F134*G134</f>
        <v>2029.5</v>
      </c>
      <c r="L134" s="86"/>
      <c r="M134" s="60"/>
    </row>
    <row r="135" spans="5:13" x14ac:dyDescent="0.25">
      <c r="E135" s="66">
        <v>42767</v>
      </c>
      <c r="F135" s="76">
        <f>+'2-REGISTRACIONES'!D$103</f>
        <v>1253</v>
      </c>
      <c r="G135" s="3">
        <f t="shared" ref="G135:G144" si="25">+G121</f>
        <v>1.2</v>
      </c>
      <c r="H135" s="3">
        <f t="shared" ref="H135:H145" si="26">+F135*G135</f>
        <v>1503.6</v>
      </c>
      <c r="L135" s="86"/>
      <c r="M135" s="85"/>
    </row>
    <row r="136" spans="5:13" x14ac:dyDescent="0.25">
      <c r="E136" s="66">
        <v>42795</v>
      </c>
      <c r="F136" s="76">
        <f>+'2-REGISTRACIONES'!E$103</f>
        <v>1543</v>
      </c>
      <c r="G136" s="3">
        <f t="shared" si="25"/>
        <v>1.18</v>
      </c>
      <c r="H136" s="3">
        <f t="shared" si="26"/>
        <v>1820.74</v>
      </c>
      <c r="L136" s="86"/>
      <c r="M136" s="85"/>
    </row>
    <row r="137" spans="5:13" x14ac:dyDescent="0.25">
      <c r="E137" s="66">
        <v>42826</v>
      </c>
      <c r="F137" s="76">
        <f>+'2-REGISTRACIONES'!F$103</f>
        <v>1983</v>
      </c>
      <c r="G137" s="3">
        <f t="shared" si="25"/>
        <v>1.1499999999999999</v>
      </c>
      <c r="H137" s="3">
        <f t="shared" si="26"/>
        <v>2280.4499999999998</v>
      </c>
      <c r="L137" s="86"/>
      <c r="M137" s="85"/>
    </row>
    <row r="138" spans="5:13" x14ac:dyDescent="0.25">
      <c r="E138" s="66">
        <v>42856</v>
      </c>
      <c r="F138" s="76">
        <f>+'2-REGISTRACIONES'!G$103</f>
        <v>1056</v>
      </c>
      <c r="G138" s="3">
        <f t="shared" si="25"/>
        <v>1.1299999999999999</v>
      </c>
      <c r="H138" s="3">
        <f t="shared" si="26"/>
        <v>1193.28</v>
      </c>
      <c r="L138" s="86"/>
      <c r="M138" s="85"/>
    </row>
    <row r="139" spans="5:13" x14ac:dyDescent="0.25">
      <c r="E139" s="66">
        <v>42887</v>
      </c>
      <c r="F139" s="76">
        <f>+'2-REGISTRACIONES'!H$103</f>
        <v>3356</v>
      </c>
      <c r="G139" s="3">
        <f t="shared" si="25"/>
        <v>1.1200000000000001</v>
      </c>
      <c r="H139" s="3">
        <f t="shared" si="26"/>
        <v>3758.7200000000003</v>
      </c>
      <c r="L139" s="86"/>
      <c r="M139" s="85"/>
    </row>
    <row r="140" spans="5:13" x14ac:dyDescent="0.25">
      <c r="E140" s="66">
        <v>42917</v>
      </c>
      <c r="F140" s="76">
        <f>+'2-REGISTRACIONES'!I$103</f>
        <v>1376</v>
      </c>
      <c r="G140" s="3">
        <f t="shared" si="25"/>
        <v>1.1000000000000001</v>
      </c>
      <c r="H140" s="3">
        <f t="shared" si="26"/>
        <v>1513.6000000000001</v>
      </c>
      <c r="L140" s="86"/>
      <c r="M140" s="85"/>
    </row>
    <row r="141" spans="5:13" x14ac:dyDescent="0.25">
      <c r="E141" s="66">
        <v>42948</v>
      </c>
      <c r="F141" s="76">
        <f>+'2-REGISTRACIONES'!J$103</f>
        <v>2211</v>
      </c>
      <c r="G141" s="3">
        <f t="shared" si="25"/>
        <v>1.08</v>
      </c>
      <c r="H141" s="3">
        <f t="shared" si="26"/>
        <v>2387.88</v>
      </c>
      <c r="L141" s="86"/>
      <c r="M141" s="85"/>
    </row>
    <row r="142" spans="5:13" x14ac:dyDescent="0.25">
      <c r="E142" s="66">
        <v>42979</v>
      </c>
      <c r="F142" s="76">
        <f>+'2-REGISTRACIONES'!K$103</f>
        <v>2137</v>
      </c>
      <c r="G142" s="3">
        <f t="shared" si="25"/>
        <v>1.06</v>
      </c>
      <c r="H142" s="3">
        <f t="shared" si="26"/>
        <v>2265.2200000000003</v>
      </c>
      <c r="L142" s="86"/>
      <c r="M142" s="85"/>
    </row>
    <row r="143" spans="5:13" x14ac:dyDescent="0.25">
      <c r="E143" s="66">
        <v>43009</v>
      </c>
      <c r="F143" s="76">
        <f>+'2-REGISTRACIONES'!L$103</f>
        <v>2240</v>
      </c>
      <c r="G143" s="3">
        <f t="shared" si="25"/>
        <v>1.05</v>
      </c>
      <c r="H143" s="3">
        <f t="shared" si="26"/>
        <v>2352</v>
      </c>
      <c r="L143" s="86"/>
      <c r="M143" s="85"/>
    </row>
    <row r="144" spans="5:13" x14ac:dyDescent="0.25">
      <c r="E144" s="66">
        <v>43040</v>
      </c>
      <c r="F144" s="76">
        <f>+'2-REGISTRACIONES'!M$103</f>
        <v>2456</v>
      </c>
      <c r="G144" s="3">
        <f t="shared" si="25"/>
        <v>1.03</v>
      </c>
      <c r="H144" s="3">
        <f t="shared" si="26"/>
        <v>2529.6800000000003</v>
      </c>
      <c r="L144" s="86"/>
      <c r="M144" s="85"/>
    </row>
    <row r="145" spans="5:13" x14ac:dyDescent="0.25">
      <c r="E145" s="65">
        <v>43070</v>
      </c>
      <c r="F145" s="76">
        <f>+'2-REGISTRACIONES'!N$103</f>
        <v>2301</v>
      </c>
      <c r="G145" s="50">
        <v>1</v>
      </c>
      <c r="H145" s="3">
        <f t="shared" si="26"/>
        <v>2301</v>
      </c>
      <c r="I145" s="61">
        <f>SUM(H134:H145)</f>
        <v>25935.670000000002</v>
      </c>
      <c r="L145" s="86"/>
      <c r="M145" s="85"/>
    </row>
    <row r="146" spans="5:13" x14ac:dyDescent="0.25">
      <c r="F146" s="76">
        <f>SUM(F134:F145)</f>
        <v>23562</v>
      </c>
      <c r="H146" s="76">
        <f t="shared" ref="H146" si="27">SUM(H134:H145)</f>
        <v>25935.670000000002</v>
      </c>
      <c r="L146" s="86" t="s">
        <v>237</v>
      </c>
      <c r="M146" s="60">
        <f>+H146-F146</f>
        <v>2373.6700000000019</v>
      </c>
    </row>
    <row r="147" spans="5:13" x14ac:dyDescent="0.25">
      <c r="E147" s="154" t="s">
        <v>202</v>
      </c>
      <c r="L147" s="86"/>
      <c r="M147" s="60"/>
    </row>
    <row r="148" spans="5:13" x14ac:dyDescent="0.25">
      <c r="E148" s="66">
        <v>42736</v>
      </c>
      <c r="F148" s="76">
        <f>+'2-REGISTRACIONES'!C$129</f>
        <v>4500</v>
      </c>
      <c r="G148" s="3">
        <f>+G134</f>
        <v>1.23</v>
      </c>
      <c r="H148" s="3">
        <f>+F148*G148</f>
        <v>5535</v>
      </c>
      <c r="L148" s="86"/>
      <c r="M148" s="85"/>
    </row>
    <row r="149" spans="5:13" x14ac:dyDescent="0.25">
      <c r="E149" s="66">
        <v>42767</v>
      </c>
      <c r="F149" s="76">
        <f>+'2-REGISTRACIONES'!D$129</f>
        <v>4500</v>
      </c>
      <c r="G149" s="3">
        <f t="shared" ref="G149:G158" si="28">+G135</f>
        <v>1.2</v>
      </c>
      <c r="H149" s="3">
        <f t="shared" ref="H149:H159" si="29">+F149*G149</f>
        <v>5400</v>
      </c>
      <c r="L149" s="86"/>
      <c r="M149" s="85"/>
    </row>
    <row r="150" spans="5:13" x14ac:dyDescent="0.25">
      <c r="E150" s="66">
        <v>42795</v>
      </c>
      <c r="F150" s="76">
        <f>+'2-REGISTRACIONES'!E$129</f>
        <v>3000</v>
      </c>
      <c r="G150" s="3">
        <f t="shared" si="28"/>
        <v>1.18</v>
      </c>
      <c r="H150" s="3">
        <f t="shared" si="29"/>
        <v>3540</v>
      </c>
      <c r="L150" s="86"/>
      <c r="M150" s="85"/>
    </row>
    <row r="151" spans="5:13" x14ac:dyDescent="0.25">
      <c r="E151" s="66">
        <v>42826</v>
      </c>
      <c r="F151" s="76">
        <f>+'2-REGISTRACIONES'!F$129</f>
        <v>2500</v>
      </c>
      <c r="G151" s="3">
        <f t="shared" si="28"/>
        <v>1.1499999999999999</v>
      </c>
      <c r="H151" s="3">
        <f t="shared" si="29"/>
        <v>2875</v>
      </c>
      <c r="L151" s="86"/>
      <c r="M151" s="85"/>
    </row>
    <row r="152" spans="5:13" x14ac:dyDescent="0.25">
      <c r="E152" s="66">
        <v>42856</v>
      </c>
      <c r="F152" s="76">
        <f>+'2-REGISTRACIONES'!G$129</f>
        <v>2000</v>
      </c>
      <c r="G152" s="3">
        <f t="shared" si="28"/>
        <v>1.1299999999999999</v>
      </c>
      <c r="H152" s="3">
        <f t="shared" si="29"/>
        <v>2260</v>
      </c>
      <c r="L152" s="86"/>
      <c r="M152" s="85"/>
    </row>
    <row r="153" spans="5:13" x14ac:dyDescent="0.25">
      <c r="E153" s="66">
        <v>42887</v>
      </c>
      <c r="F153" s="76">
        <f>+'2-REGISTRACIONES'!H$129</f>
        <v>1500</v>
      </c>
      <c r="G153" s="3">
        <f t="shared" si="28"/>
        <v>1.1200000000000001</v>
      </c>
      <c r="H153" s="3">
        <f t="shared" si="29"/>
        <v>1680.0000000000002</v>
      </c>
      <c r="L153" s="86"/>
      <c r="M153" s="85"/>
    </row>
    <row r="154" spans="5:13" x14ac:dyDescent="0.25">
      <c r="E154" s="66">
        <v>42917</v>
      </c>
      <c r="F154" s="76">
        <f>+'2-REGISTRACIONES'!I$129</f>
        <v>1500</v>
      </c>
      <c r="G154" s="3">
        <f t="shared" si="28"/>
        <v>1.1000000000000001</v>
      </c>
      <c r="H154" s="3">
        <f t="shared" si="29"/>
        <v>1650.0000000000002</v>
      </c>
      <c r="L154" s="86"/>
      <c r="M154" s="85"/>
    </row>
    <row r="155" spans="5:13" x14ac:dyDescent="0.25">
      <c r="E155" s="66">
        <v>42948</v>
      </c>
      <c r="F155" s="76">
        <f>+'2-REGISTRACIONES'!J$129</f>
        <v>1500</v>
      </c>
      <c r="G155" s="3">
        <f t="shared" si="28"/>
        <v>1.08</v>
      </c>
      <c r="H155" s="3">
        <f t="shared" si="29"/>
        <v>1620</v>
      </c>
      <c r="L155" s="86"/>
      <c r="M155" s="85"/>
    </row>
    <row r="156" spans="5:13" x14ac:dyDescent="0.25">
      <c r="E156" s="66">
        <v>42979</v>
      </c>
      <c r="F156" s="76">
        <f>+'2-REGISTRACIONES'!K$129</f>
        <v>3000</v>
      </c>
      <c r="G156" s="3">
        <f t="shared" si="28"/>
        <v>1.06</v>
      </c>
      <c r="H156" s="3">
        <f t="shared" si="29"/>
        <v>3180</v>
      </c>
      <c r="L156" s="86"/>
      <c r="M156" s="85"/>
    </row>
    <row r="157" spans="5:13" x14ac:dyDescent="0.25">
      <c r="E157" s="66">
        <v>43009</v>
      </c>
      <c r="F157" s="76">
        <f>+'2-REGISTRACIONES'!L$129</f>
        <v>3000</v>
      </c>
      <c r="G157" s="3">
        <f t="shared" si="28"/>
        <v>1.05</v>
      </c>
      <c r="H157" s="3">
        <f t="shared" si="29"/>
        <v>3150</v>
      </c>
      <c r="L157" s="86"/>
      <c r="M157" s="85"/>
    </row>
    <row r="158" spans="5:13" x14ac:dyDescent="0.25">
      <c r="E158" s="66">
        <v>43040</v>
      </c>
      <c r="F158" s="76">
        <f>+'2-REGISTRACIONES'!M$129</f>
        <v>3000</v>
      </c>
      <c r="G158" s="3">
        <f t="shared" si="28"/>
        <v>1.03</v>
      </c>
      <c r="H158" s="3">
        <f t="shared" si="29"/>
        <v>3090</v>
      </c>
      <c r="L158" s="86"/>
      <c r="M158" s="85"/>
    </row>
    <row r="159" spans="5:13" x14ac:dyDescent="0.25">
      <c r="E159" s="65">
        <v>43070</v>
      </c>
      <c r="F159" s="76">
        <f>+'2-REGISTRACIONES'!N$129</f>
        <v>3000</v>
      </c>
      <c r="G159" s="50">
        <v>1</v>
      </c>
      <c r="H159" s="3">
        <f t="shared" si="29"/>
        <v>3000</v>
      </c>
      <c r="I159" s="61">
        <f>SUM(H148:H159)</f>
        <v>36980</v>
      </c>
      <c r="L159" s="86"/>
      <c r="M159" s="85"/>
    </row>
    <row r="160" spans="5:13" x14ac:dyDescent="0.25">
      <c r="F160" s="76">
        <f>SUM(F148:F159)</f>
        <v>33000</v>
      </c>
      <c r="H160" s="76">
        <f t="shared" ref="H160" si="30">SUM(H148:H159)</f>
        <v>36980</v>
      </c>
      <c r="L160" s="86" t="s">
        <v>238</v>
      </c>
      <c r="M160" s="60">
        <f>+H160-F160</f>
        <v>3980</v>
      </c>
    </row>
    <row r="161" spans="5:13" x14ac:dyDescent="0.25">
      <c r="E161" s="154" t="s">
        <v>124</v>
      </c>
      <c r="L161" s="86"/>
      <c r="M161" s="85"/>
    </row>
    <row r="162" spans="5:13" x14ac:dyDescent="0.25">
      <c r="E162" s="66">
        <v>42736</v>
      </c>
      <c r="F162" s="76">
        <f>+'2-REGISTRACIONES'!C$121</f>
        <v>1500</v>
      </c>
      <c r="G162" s="3">
        <f>+G148</f>
        <v>1.23</v>
      </c>
      <c r="H162" s="3">
        <f>+F162*G162</f>
        <v>1845</v>
      </c>
      <c r="L162" s="86"/>
      <c r="M162" s="60"/>
    </row>
    <row r="163" spans="5:13" x14ac:dyDescent="0.25">
      <c r="E163" s="66">
        <v>42767</v>
      </c>
      <c r="F163" s="76">
        <f>+'2-REGISTRACIONES'!D$121</f>
        <v>1500</v>
      </c>
      <c r="G163" s="3">
        <f t="shared" ref="G163:G172" si="31">+G149</f>
        <v>1.2</v>
      </c>
      <c r="H163" s="3">
        <f t="shared" ref="H163:H173" si="32">+F163*G163</f>
        <v>1800</v>
      </c>
      <c r="L163" s="86"/>
      <c r="M163" s="85"/>
    </row>
    <row r="164" spans="5:13" x14ac:dyDescent="0.25">
      <c r="E164" s="66">
        <v>42795</v>
      </c>
      <c r="F164" s="76">
        <f>+'2-REGISTRACIONES'!E$121</f>
        <v>1500</v>
      </c>
      <c r="G164" s="3">
        <f t="shared" si="31"/>
        <v>1.18</v>
      </c>
      <c r="H164" s="3">
        <f t="shared" si="32"/>
        <v>1770</v>
      </c>
      <c r="L164" s="86"/>
      <c r="M164" s="85"/>
    </row>
    <row r="165" spans="5:13" x14ac:dyDescent="0.25">
      <c r="E165" s="66">
        <v>42826</v>
      </c>
      <c r="F165" s="76">
        <f>+'2-REGISTRACIONES'!F$121</f>
        <v>1500</v>
      </c>
      <c r="G165" s="3">
        <f t="shared" si="31"/>
        <v>1.1499999999999999</v>
      </c>
      <c r="H165" s="3">
        <f t="shared" si="32"/>
        <v>1724.9999999999998</v>
      </c>
      <c r="L165" s="86"/>
      <c r="M165" s="85"/>
    </row>
    <row r="166" spans="5:13" x14ac:dyDescent="0.25">
      <c r="E166" s="66">
        <v>42856</v>
      </c>
      <c r="F166" s="76">
        <f>+'2-REGISTRACIONES'!G$121</f>
        <v>1500</v>
      </c>
      <c r="G166" s="3">
        <f t="shared" si="31"/>
        <v>1.1299999999999999</v>
      </c>
      <c r="H166" s="3">
        <f t="shared" si="32"/>
        <v>1694.9999999999998</v>
      </c>
      <c r="L166" s="86"/>
      <c r="M166" s="85"/>
    </row>
    <row r="167" spans="5:13" x14ac:dyDescent="0.25">
      <c r="E167" s="66">
        <v>42887</v>
      </c>
      <c r="F167" s="76">
        <f>+'2-REGISTRACIONES'!H$121</f>
        <v>1500</v>
      </c>
      <c r="G167" s="3">
        <f t="shared" si="31"/>
        <v>1.1200000000000001</v>
      </c>
      <c r="H167" s="3">
        <f t="shared" si="32"/>
        <v>1680.0000000000002</v>
      </c>
      <c r="L167" s="86"/>
      <c r="M167" s="85"/>
    </row>
    <row r="168" spans="5:13" x14ac:dyDescent="0.25">
      <c r="E168" s="66">
        <v>42917</v>
      </c>
      <c r="F168" s="76">
        <f>+'2-REGISTRACIONES'!I$121</f>
        <v>1700</v>
      </c>
      <c r="G168" s="3">
        <f t="shared" si="31"/>
        <v>1.1000000000000001</v>
      </c>
      <c r="H168" s="3">
        <f t="shared" si="32"/>
        <v>1870.0000000000002</v>
      </c>
      <c r="L168" s="86"/>
      <c r="M168" s="85"/>
    </row>
    <row r="169" spans="5:13" x14ac:dyDescent="0.25">
      <c r="E169" s="66">
        <v>42948</v>
      </c>
      <c r="F169" s="76">
        <f>+'2-REGISTRACIONES'!J$121</f>
        <v>1700</v>
      </c>
      <c r="G169" s="3">
        <f t="shared" si="31"/>
        <v>1.08</v>
      </c>
      <c r="H169" s="3">
        <f t="shared" si="32"/>
        <v>1836.0000000000002</v>
      </c>
      <c r="L169" s="86"/>
      <c r="M169" s="85"/>
    </row>
    <row r="170" spans="5:13" x14ac:dyDescent="0.25">
      <c r="E170" s="66">
        <v>42979</v>
      </c>
      <c r="F170" s="76">
        <f>+'2-REGISTRACIONES'!K$121</f>
        <v>1700</v>
      </c>
      <c r="G170" s="3">
        <f t="shared" si="31"/>
        <v>1.06</v>
      </c>
      <c r="H170" s="3">
        <f t="shared" si="32"/>
        <v>1802</v>
      </c>
      <c r="L170" s="86"/>
      <c r="M170" s="85"/>
    </row>
    <row r="171" spans="5:13" x14ac:dyDescent="0.25">
      <c r="E171" s="66">
        <v>43009</v>
      </c>
      <c r="F171" s="76">
        <f>+'2-REGISTRACIONES'!L$121</f>
        <v>1700</v>
      </c>
      <c r="G171" s="3">
        <f t="shared" si="31"/>
        <v>1.05</v>
      </c>
      <c r="H171" s="3">
        <f t="shared" si="32"/>
        <v>1785</v>
      </c>
      <c r="L171" s="86"/>
      <c r="M171" s="85"/>
    </row>
    <row r="172" spans="5:13" x14ac:dyDescent="0.25">
      <c r="E172" s="66">
        <v>43040</v>
      </c>
      <c r="F172" s="76">
        <f>+'2-REGISTRACIONES'!M$121</f>
        <v>1700</v>
      </c>
      <c r="G172" s="3">
        <f t="shared" si="31"/>
        <v>1.03</v>
      </c>
      <c r="H172" s="3">
        <f t="shared" si="32"/>
        <v>1751</v>
      </c>
      <c r="L172" s="86"/>
      <c r="M172" s="85"/>
    </row>
    <row r="173" spans="5:13" x14ac:dyDescent="0.25">
      <c r="E173" s="65">
        <v>43070</v>
      </c>
      <c r="F173" s="76">
        <f>+'2-REGISTRACIONES'!N$121</f>
        <v>1700</v>
      </c>
      <c r="G173" s="50">
        <v>1</v>
      </c>
      <c r="H173" s="3">
        <f t="shared" si="32"/>
        <v>1700</v>
      </c>
      <c r="I173" s="61">
        <f>SUM(H162:H173)</f>
        <v>21259</v>
      </c>
      <c r="L173" s="86"/>
      <c r="M173" s="85"/>
    </row>
    <row r="174" spans="5:13" x14ac:dyDescent="0.25">
      <c r="F174" s="76">
        <f>SUM(F162:F173)</f>
        <v>19200</v>
      </c>
      <c r="H174" s="76">
        <f t="shared" ref="H174" si="33">SUM(H162:H173)</f>
        <v>21259</v>
      </c>
      <c r="L174" s="86" t="s">
        <v>239</v>
      </c>
      <c r="M174" s="60">
        <f>+H174-F174</f>
        <v>2059</v>
      </c>
    </row>
    <row r="175" spans="5:13" x14ac:dyDescent="0.25">
      <c r="E175" s="154" t="s">
        <v>110</v>
      </c>
      <c r="L175" s="86"/>
      <c r="M175" s="85"/>
    </row>
    <row r="176" spans="5:13" x14ac:dyDescent="0.25">
      <c r="E176" s="66">
        <v>42736</v>
      </c>
      <c r="F176" s="76">
        <f>+'2-REGISTRACIONES'!C$82</f>
        <v>201</v>
      </c>
      <c r="G176" s="3">
        <f>+G162</f>
        <v>1.23</v>
      </c>
      <c r="H176" s="3">
        <f>+F176*G176</f>
        <v>247.23</v>
      </c>
      <c r="L176" s="86"/>
      <c r="M176" s="85"/>
    </row>
    <row r="177" spans="5:13" x14ac:dyDescent="0.25">
      <c r="E177" s="66">
        <v>42767</v>
      </c>
      <c r="F177" s="76">
        <f>+'2-REGISTRACIONES'!D$82</f>
        <v>235</v>
      </c>
      <c r="G177" s="3">
        <f t="shared" ref="G177:G186" si="34">+G163</f>
        <v>1.2</v>
      </c>
      <c r="H177" s="3">
        <f t="shared" ref="H177:H187" si="35">+F177*G177</f>
        <v>282</v>
      </c>
      <c r="L177" s="86"/>
      <c r="M177" s="85"/>
    </row>
    <row r="178" spans="5:13" x14ac:dyDescent="0.25">
      <c r="E178" s="66">
        <v>42795</v>
      </c>
      <c r="F178" s="76">
        <f>+'2-REGISTRACIONES'!E$82</f>
        <v>223</v>
      </c>
      <c r="G178" s="3">
        <f t="shared" si="34"/>
        <v>1.18</v>
      </c>
      <c r="H178" s="3">
        <f t="shared" si="35"/>
        <v>263.14</v>
      </c>
      <c r="L178" s="86"/>
      <c r="M178" s="85"/>
    </row>
    <row r="179" spans="5:13" x14ac:dyDescent="0.25">
      <c r="E179" s="66">
        <v>42826</v>
      </c>
      <c r="F179" s="76">
        <f>+'2-REGISTRACIONES'!F$82</f>
        <v>215</v>
      </c>
      <c r="G179" s="3">
        <f t="shared" si="34"/>
        <v>1.1499999999999999</v>
      </c>
      <c r="H179" s="3">
        <f t="shared" si="35"/>
        <v>247.24999999999997</v>
      </c>
      <c r="L179" s="86"/>
      <c r="M179" s="85"/>
    </row>
    <row r="180" spans="5:13" x14ac:dyDescent="0.25">
      <c r="E180" s="66">
        <v>42856</v>
      </c>
      <c r="F180" s="76">
        <f>+'2-REGISTRACIONES'!G$82</f>
        <v>259</v>
      </c>
      <c r="G180" s="3">
        <f t="shared" si="34"/>
        <v>1.1299999999999999</v>
      </c>
      <c r="H180" s="3">
        <f t="shared" si="35"/>
        <v>292.66999999999996</v>
      </c>
      <c r="L180" s="86"/>
      <c r="M180" s="85"/>
    </row>
    <row r="181" spans="5:13" x14ac:dyDescent="0.25">
      <c r="E181" s="66">
        <v>42887</v>
      </c>
      <c r="F181" s="76">
        <f>+'2-REGISTRACIONES'!H$82</f>
        <v>242</v>
      </c>
      <c r="G181" s="3">
        <f t="shared" si="34"/>
        <v>1.1200000000000001</v>
      </c>
      <c r="H181" s="3">
        <f t="shared" si="35"/>
        <v>271.04000000000002</v>
      </c>
      <c r="L181" s="86"/>
      <c r="M181" s="85"/>
    </row>
    <row r="182" spans="5:13" x14ac:dyDescent="0.25">
      <c r="E182" s="66">
        <v>42917</v>
      </c>
      <c r="F182" s="76">
        <f>+'2-REGISTRACIONES'!I$82</f>
        <v>234</v>
      </c>
      <c r="G182" s="3">
        <f t="shared" si="34"/>
        <v>1.1000000000000001</v>
      </c>
      <c r="H182" s="3">
        <f t="shared" si="35"/>
        <v>257.40000000000003</v>
      </c>
      <c r="L182" s="86"/>
      <c r="M182" s="85"/>
    </row>
    <row r="183" spans="5:13" x14ac:dyDescent="0.25">
      <c r="E183" s="66">
        <v>42948</v>
      </c>
      <c r="F183" s="76">
        <f>+'2-REGISTRACIONES'!J$82</f>
        <v>247</v>
      </c>
      <c r="G183" s="3">
        <f t="shared" si="34"/>
        <v>1.08</v>
      </c>
      <c r="H183" s="3">
        <f t="shared" si="35"/>
        <v>266.76</v>
      </c>
      <c r="L183" s="86"/>
      <c r="M183" s="85"/>
    </row>
    <row r="184" spans="5:13" x14ac:dyDescent="0.25">
      <c r="E184" s="66">
        <v>42979</v>
      </c>
      <c r="F184" s="76">
        <f>+'2-REGISTRACIONES'!K$82</f>
        <v>238</v>
      </c>
      <c r="G184" s="3">
        <f t="shared" si="34"/>
        <v>1.06</v>
      </c>
      <c r="H184" s="3">
        <f t="shared" si="35"/>
        <v>252.28</v>
      </c>
      <c r="L184" s="86"/>
      <c r="M184" s="85"/>
    </row>
    <row r="185" spans="5:13" x14ac:dyDescent="0.25">
      <c r="E185" s="66">
        <v>43009</v>
      </c>
      <c r="F185" s="76">
        <f>+'2-REGISTRACIONES'!L$82</f>
        <v>251</v>
      </c>
      <c r="G185" s="3">
        <f t="shared" si="34"/>
        <v>1.05</v>
      </c>
      <c r="H185" s="3">
        <f t="shared" si="35"/>
        <v>263.55</v>
      </c>
      <c r="L185" s="86"/>
      <c r="M185" s="85"/>
    </row>
    <row r="186" spans="5:13" x14ac:dyDescent="0.25">
      <c r="E186" s="66">
        <v>43040</v>
      </c>
      <c r="F186" s="76">
        <f>+'2-REGISTRACIONES'!M$82</f>
        <v>257</v>
      </c>
      <c r="G186" s="3">
        <f t="shared" si="34"/>
        <v>1.03</v>
      </c>
      <c r="H186" s="3">
        <f t="shared" si="35"/>
        <v>264.70999999999998</v>
      </c>
      <c r="L186" s="86"/>
      <c r="M186" s="85"/>
    </row>
    <row r="187" spans="5:13" x14ac:dyDescent="0.25">
      <c r="E187" s="65">
        <v>43070</v>
      </c>
      <c r="F187" s="76">
        <f>+'2-REGISTRACIONES'!N$82</f>
        <v>261</v>
      </c>
      <c r="G187" s="50">
        <v>1</v>
      </c>
      <c r="H187" s="3">
        <f t="shared" si="35"/>
        <v>261</v>
      </c>
      <c r="I187" s="61">
        <f>SUM(H176:H187)</f>
        <v>3169.03</v>
      </c>
      <c r="L187" s="86"/>
      <c r="M187" s="85"/>
    </row>
    <row r="188" spans="5:13" x14ac:dyDescent="0.25">
      <c r="F188" s="76">
        <f>SUM(F176:F187)</f>
        <v>2863</v>
      </c>
      <c r="H188" s="76">
        <f t="shared" ref="H188" si="36">SUM(H176:H187)</f>
        <v>3169.03</v>
      </c>
      <c r="L188" s="86" t="s">
        <v>240</v>
      </c>
      <c r="M188" s="60">
        <f>+H188-F188</f>
        <v>306.0300000000002</v>
      </c>
    </row>
    <row r="189" spans="5:13" x14ac:dyDescent="0.25">
      <c r="E189" s="154" t="s">
        <v>203</v>
      </c>
      <c r="J189" s="53"/>
      <c r="K189" s="53"/>
      <c r="L189" s="90"/>
      <c r="M189" s="91"/>
    </row>
    <row r="190" spans="5:13" x14ac:dyDescent="0.25">
      <c r="E190" s="66">
        <v>42736</v>
      </c>
      <c r="F190" s="76">
        <f>+'2-REGISTRACIONES'!C$81</f>
        <v>2350</v>
      </c>
      <c r="G190" s="3">
        <f>+G176</f>
        <v>1.23</v>
      </c>
      <c r="H190" s="3">
        <f>+F190*G190</f>
        <v>2890.5</v>
      </c>
      <c r="L190" s="86"/>
      <c r="M190" s="85"/>
    </row>
    <row r="191" spans="5:13" x14ac:dyDescent="0.25">
      <c r="E191" s="66">
        <v>42767</v>
      </c>
      <c r="F191" s="76">
        <f>+'2-REGISTRACIONES'!D$81</f>
        <v>2115</v>
      </c>
      <c r="G191" s="3">
        <f t="shared" ref="G191:G200" si="37">+G177</f>
        <v>1.2</v>
      </c>
      <c r="H191" s="3">
        <f t="shared" ref="H191:H201" si="38">+F191*G191</f>
        <v>2538</v>
      </c>
      <c r="L191" s="86"/>
      <c r="M191" s="85"/>
    </row>
    <row r="192" spans="5:13" x14ac:dyDescent="0.25">
      <c r="E192" s="66">
        <v>42795</v>
      </c>
      <c r="F192" s="76">
        <f>+'2-REGISTRACIONES'!E$81</f>
        <v>2445</v>
      </c>
      <c r="G192" s="3">
        <f t="shared" si="37"/>
        <v>1.18</v>
      </c>
      <c r="H192" s="3">
        <f t="shared" si="38"/>
        <v>2885.1</v>
      </c>
      <c r="L192" s="86"/>
      <c r="M192" s="85"/>
    </row>
    <row r="193" spans="5:13" x14ac:dyDescent="0.25">
      <c r="E193" s="66">
        <v>42826</v>
      </c>
      <c r="F193" s="76">
        <f>+'2-REGISTRACIONES'!F$81</f>
        <v>2673</v>
      </c>
      <c r="G193" s="3">
        <f t="shared" si="37"/>
        <v>1.1499999999999999</v>
      </c>
      <c r="H193" s="3">
        <f t="shared" si="38"/>
        <v>3073.95</v>
      </c>
      <c r="L193" s="86"/>
      <c r="M193" s="85"/>
    </row>
    <row r="194" spans="5:13" x14ac:dyDescent="0.25">
      <c r="E194" s="66">
        <v>42856</v>
      </c>
      <c r="F194" s="76">
        <f>+'2-REGISTRACIONES'!G$81</f>
        <v>2594</v>
      </c>
      <c r="G194" s="3">
        <f t="shared" si="37"/>
        <v>1.1299999999999999</v>
      </c>
      <c r="H194" s="3">
        <f t="shared" si="38"/>
        <v>2931.22</v>
      </c>
      <c r="L194" s="86"/>
      <c r="M194" s="85"/>
    </row>
    <row r="195" spans="5:13" x14ac:dyDescent="0.25">
      <c r="E195" s="66">
        <v>42887</v>
      </c>
      <c r="F195" s="76">
        <f>+'2-REGISTRACIONES'!H$81</f>
        <v>2301</v>
      </c>
      <c r="G195" s="3">
        <f t="shared" si="37"/>
        <v>1.1200000000000001</v>
      </c>
      <c r="H195" s="3">
        <f t="shared" si="38"/>
        <v>2577.1200000000003</v>
      </c>
      <c r="L195" s="86"/>
      <c r="M195" s="85"/>
    </row>
    <row r="196" spans="5:13" x14ac:dyDescent="0.25">
      <c r="E196" s="66">
        <v>42917</v>
      </c>
      <c r="F196" s="76">
        <f>+'2-REGISTRACIONES'!I$81</f>
        <v>2456</v>
      </c>
      <c r="G196" s="3">
        <f t="shared" si="37"/>
        <v>1.1000000000000001</v>
      </c>
      <c r="H196" s="3">
        <f t="shared" si="38"/>
        <v>2701.6000000000004</v>
      </c>
      <c r="L196" s="86"/>
      <c r="M196" s="85"/>
    </row>
    <row r="197" spans="5:13" x14ac:dyDescent="0.25">
      <c r="E197" s="66">
        <v>42948</v>
      </c>
      <c r="F197" s="76">
        <f>+'2-REGISTRACIONES'!J$81</f>
        <v>2780</v>
      </c>
      <c r="G197" s="3">
        <f t="shared" si="37"/>
        <v>1.08</v>
      </c>
      <c r="H197" s="3">
        <f t="shared" si="38"/>
        <v>3002.4</v>
      </c>
      <c r="L197" s="86"/>
      <c r="M197" s="85"/>
    </row>
    <row r="198" spans="5:13" x14ac:dyDescent="0.25">
      <c r="E198" s="66">
        <v>42979</v>
      </c>
      <c r="F198" s="76">
        <f>+'2-REGISTRACIONES'!K$81</f>
        <v>2863</v>
      </c>
      <c r="G198" s="3">
        <f t="shared" si="37"/>
        <v>1.06</v>
      </c>
      <c r="H198" s="3">
        <f t="shared" si="38"/>
        <v>3034.78</v>
      </c>
      <c r="L198" s="86"/>
      <c r="M198" s="85"/>
    </row>
    <row r="199" spans="5:13" x14ac:dyDescent="0.25">
      <c r="E199" s="66">
        <v>43009</v>
      </c>
      <c r="F199" s="76">
        <f>+'2-REGISTRACIONES'!L$81</f>
        <v>2934</v>
      </c>
      <c r="G199" s="3">
        <f t="shared" si="37"/>
        <v>1.05</v>
      </c>
      <c r="H199" s="3">
        <f t="shared" si="38"/>
        <v>3080.7000000000003</v>
      </c>
      <c r="L199" s="86"/>
      <c r="M199" s="85"/>
    </row>
    <row r="200" spans="5:13" x14ac:dyDescent="0.25">
      <c r="E200" s="66">
        <v>43040</v>
      </c>
      <c r="F200" s="76">
        <f>+'2-REGISTRACIONES'!M$81</f>
        <v>2967</v>
      </c>
      <c r="G200" s="3">
        <f t="shared" si="37"/>
        <v>1.03</v>
      </c>
      <c r="H200" s="3">
        <f t="shared" si="38"/>
        <v>3056.01</v>
      </c>
      <c r="L200" s="86"/>
      <c r="M200" s="85"/>
    </row>
    <row r="201" spans="5:13" x14ac:dyDescent="0.25">
      <c r="E201" s="65">
        <v>43070</v>
      </c>
      <c r="F201" s="76">
        <f>+'2-REGISTRACIONES'!N$81</f>
        <v>3140</v>
      </c>
      <c r="G201" s="50">
        <v>1</v>
      </c>
      <c r="H201" s="3">
        <f t="shared" si="38"/>
        <v>3140</v>
      </c>
      <c r="I201" s="61">
        <f>SUM(H190:H201)</f>
        <v>34911.379999999997</v>
      </c>
      <c r="L201" s="86"/>
      <c r="M201" s="85"/>
    </row>
    <row r="202" spans="5:13" x14ac:dyDescent="0.25">
      <c r="F202" s="76">
        <f>SUM(F190:F201)</f>
        <v>31618</v>
      </c>
      <c r="H202" s="76">
        <f t="shared" ref="H202" si="39">SUM(H190:H201)</f>
        <v>34911.379999999997</v>
      </c>
      <c r="L202" s="86" t="s">
        <v>241</v>
      </c>
      <c r="M202" s="60">
        <f>++H202-F202</f>
        <v>3293.3799999999974</v>
      </c>
    </row>
    <row r="203" spans="5:13" x14ac:dyDescent="0.25">
      <c r="E203" s="154" t="s">
        <v>204</v>
      </c>
      <c r="L203" s="86"/>
      <c r="M203" s="85"/>
    </row>
    <row r="204" spans="5:13" x14ac:dyDescent="0.25">
      <c r="E204" s="66">
        <v>42736</v>
      </c>
      <c r="F204" s="76">
        <f>+'2-REGISTRACIONES'!C$107</f>
        <v>2000</v>
      </c>
      <c r="G204" s="3">
        <f>G190</f>
        <v>1.23</v>
      </c>
      <c r="H204" s="3">
        <f>+F204*G204</f>
        <v>2460</v>
      </c>
      <c r="L204" s="86"/>
      <c r="M204" s="60"/>
    </row>
    <row r="205" spans="5:13" x14ac:dyDescent="0.25">
      <c r="E205" s="66">
        <v>42767</v>
      </c>
      <c r="F205" s="76">
        <f>+'2-REGISTRACIONES'!D$107</f>
        <v>2000</v>
      </c>
      <c r="G205" s="3">
        <f t="shared" ref="G205:G214" si="40">G191</f>
        <v>1.2</v>
      </c>
      <c r="H205" s="3">
        <f t="shared" ref="H205:H215" si="41">+F205*G205</f>
        <v>2400</v>
      </c>
      <c r="L205" s="86"/>
      <c r="M205" s="85"/>
    </row>
    <row r="206" spans="5:13" x14ac:dyDescent="0.25">
      <c r="E206" s="66">
        <v>42795</v>
      </c>
      <c r="F206" s="76">
        <f>+'2-REGISTRACIONES'!E$107</f>
        <v>2000</v>
      </c>
      <c r="G206" s="3">
        <f t="shared" si="40"/>
        <v>1.18</v>
      </c>
      <c r="H206" s="3">
        <f t="shared" si="41"/>
        <v>2360</v>
      </c>
      <c r="L206" s="86"/>
      <c r="M206" s="85"/>
    </row>
    <row r="207" spans="5:13" x14ac:dyDescent="0.25">
      <c r="E207" s="66">
        <v>42826</v>
      </c>
      <c r="F207" s="76">
        <f>+'2-REGISTRACIONES'!F$107</f>
        <v>2000</v>
      </c>
      <c r="G207" s="3">
        <f t="shared" si="40"/>
        <v>1.1499999999999999</v>
      </c>
      <c r="H207" s="3">
        <f t="shared" si="41"/>
        <v>2300</v>
      </c>
      <c r="L207" s="86"/>
      <c r="M207" s="85"/>
    </row>
    <row r="208" spans="5:13" x14ac:dyDescent="0.25">
      <c r="E208" s="66">
        <v>42856</v>
      </c>
      <c r="F208" s="76">
        <f>+'2-REGISTRACIONES'!G$107</f>
        <v>2000</v>
      </c>
      <c r="G208" s="3">
        <f t="shared" si="40"/>
        <v>1.1299999999999999</v>
      </c>
      <c r="H208" s="3">
        <f t="shared" si="41"/>
        <v>2260</v>
      </c>
      <c r="L208" s="86"/>
      <c r="M208" s="85"/>
    </row>
    <row r="209" spans="5:13" x14ac:dyDescent="0.25">
      <c r="E209" s="66">
        <v>42887</v>
      </c>
      <c r="F209" s="76">
        <f>+'2-REGISTRACIONES'!H$107</f>
        <v>2000</v>
      </c>
      <c r="G209" s="3">
        <f t="shared" si="40"/>
        <v>1.1200000000000001</v>
      </c>
      <c r="H209" s="3">
        <f t="shared" si="41"/>
        <v>2240</v>
      </c>
      <c r="L209" s="86"/>
      <c r="M209" s="85"/>
    </row>
    <row r="210" spans="5:13" x14ac:dyDescent="0.25">
      <c r="E210" s="66">
        <v>42917</v>
      </c>
      <c r="F210" s="76">
        <f>+'2-REGISTRACIONES'!I$107</f>
        <v>2000</v>
      </c>
      <c r="G210" s="3">
        <f t="shared" si="40"/>
        <v>1.1000000000000001</v>
      </c>
      <c r="H210" s="3">
        <f t="shared" si="41"/>
        <v>2200</v>
      </c>
      <c r="L210" s="86"/>
      <c r="M210" s="85"/>
    </row>
    <row r="211" spans="5:13" x14ac:dyDescent="0.25">
      <c r="E211" s="66">
        <v>42948</v>
      </c>
      <c r="F211" s="76">
        <f>+'2-REGISTRACIONES'!J$107</f>
        <v>2000</v>
      </c>
      <c r="G211" s="3">
        <f t="shared" si="40"/>
        <v>1.08</v>
      </c>
      <c r="H211" s="3">
        <f t="shared" si="41"/>
        <v>2160</v>
      </c>
      <c r="L211" s="86"/>
      <c r="M211" s="85"/>
    </row>
    <row r="212" spans="5:13" x14ac:dyDescent="0.25">
      <c r="E212" s="66">
        <v>42979</v>
      </c>
      <c r="F212" s="76">
        <f>+'2-REGISTRACIONES'!K$107</f>
        <v>2000</v>
      </c>
      <c r="G212" s="3">
        <f t="shared" si="40"/>
        <v>1.06</v>
      </c>
      <c r="H212" s="3">
        <f t="shared" si="41"/>
        <v>2120</v>
      </c>
      <c r="L212" s="86"/>
      <c r="M212" s="85"/>
    </row>
    <row r="213" spans="5:13" x14ac:dyDescent="0.25">
      <c r="E213" s="66">
        <v>43009</v>
      </c>
      <c r="F213" s="76">
        <f>+'2-REGISTRACIONES'!L$107</f>
        <v>2000</v>
      </c>
      <c r="G213" s="3">
        <f t="shared" si="40"/>
        <v>1.05</v>
      </c>
      <c r="H213" s="3">
        <f t="shared" si="41"/>
        <v>2100</v>
      </c>
      <c r="L213" s="86"/>
      <c r="M213" s="85"/>
    </row>
    <row r="214" spans="5:13" x14ac:dyDescent="0.25">
      <c r="E214" s="66">
        <v>43040</v>
      </c>
      <c r="F214" s="76">
        <f>+'2-REGISTRACIONES'!M$107</f>
        <v>2500</v>
      </c>
      <c r="G214" s="3">
        <f t="shared" si="40"/>
        <v>1.03</v>
      </c>
      <c r="H214" s="3">
        <f t="shared" si="41"/>
        <v>2575</v>
      </c>
      <c r="L214" s="86"/>
      <c r="M214" s="85"/>
    </row>
    <row r="215" spans="5:13" x14ac:dyDescent="0.25">
      <c r="E215" s="65">
        <v>43070</v>
      </c>
      <c r="F215" s="76">
        <f>+'2-REGISTRACIONES'!N$107</f>
        <v>2500</v>
      </c>
      <c r="G215" s="50">
        <v>1</v>
      </c>
      <c r="H215" s="3">
        <f t="shared" si="41"/>
        <v>2500</v>
      </c>
      <c r="I215" s="61">
        <f>SUM(H204:H215)</f>
        <v>27675</v>
      </c>
      <c r="L215" s="86"/>
      <c r="M215" s="85"/>
    </row>
    <row r="216" spans="5:13" x14ac:dyDescent="0.25">
      <c r="F216" s="76">
        <f>SUM(F204:F215)</f>
        <v>25000</v>
      </c>
      <c r="H216" s="76">
        <f t="shared" ref="H216" si="42">SUM(H204:H215)</f>
        <v>27675</v>
      </c>
      <c r="L216" s="86" t="s">
        <v>242</v>
      </c>
      <c r="M216" s="60">
        <f>+H216-F216</f>
        <v>2675</v>
      </c>
    </row>
    <row r="217" spans="5:13" x14ac:dyDescent="0.25">
      <c r="E217" s="154" t="s">
        <v>127</v>
      </c>
      <c r="L217" s="86"/>
      <c r="M217" s="85"/>
    </row>
    <row r="218" spans="5:13" x14ac:dyDescent="0.25">
      <c r="E218" s="66">
        <v>42736</v>
      </c>
      <c r="F218" s="76">
        <f>+'2-REGISTRACIONES'!C$133</f>
        <v>1255</v>
      </c>
      <c r="G218" s="3">
        <f>+G204</f>
        <v>1.23</v>
      </c>
      <c r="H218" s="3">
        <f>+F218*G218</f>
        <v>1543.65</v>
      </c>
      <c r="L218" s="86"/>
      <c r="M218" s="85"/>
    </row>
    <row r="219" spans="5:13" x14ac:dyDescent="0.25">
      <c r="E219" s="66">
        <v>42767</v>
      </c>
      <c r="F219" s="76">
        <f>+'2-REGISTRACIONES'!D$133</f>
        <v>890</v>
      </c>
      <c r="G219" s="3">
        <f t="shared" ref="G219:G228" si="43">+G205</f>
        <v>1.2</v>
      </c>
      <c r="H219" s="3">
        <f t="shared" ref="H219:H229" si="44">+F219*G219</f>
        <v>1068</v>
      </c>
      <c r="L219" s="86"/>
      <c r="M219" s="85"/>
    </row>
    <row r="220" spans="5:13" x14ac:dyDescent="0.25">
      <c r="E220" s="66">
        <v>42795</v>
      </c>
      <c r="F220" s="76">
        <f>+'2-REGISTRACIONES'!E$133</f>
        <v>963</v>
      </c>
      <c r="G220" s="3">
        <f t="shared" si="43"/>
        <v>1.18</v>
      </c>
      <c r="H220" s="3">
        <f t="shared" si="44"/>
        <v>1136.3399999999999</v>
      </c>
      <c r="L220" s="86"/>
      <c r="M220" s="85"/>
    </row>
    <row r="221" spans="5:13" x14ac:dyDescent="0.25">
      <c r="E221" s="66">
        <v>42826</v>
      </c>
      <c r="F221" s="76">
        <f>+'2-REGISTRACIONES'!F$133</f>
        <v>980</v>
      </c>
      <c r="G221" s="3">
        <f t="shared" si="43"/>
        <v>1.1499999999999999</v>
      </c>
      <c r="H221" s="3">
        <f t="shared" si="44"/>
        <v>1127</v>
      </c>
      <c r="L221" s="86"/>
      <c r="M221" s="85"/>
    </row>
    <row r="222" spans="5:13" x14ac:dyDescent="0.25">
      <c r="E222" s="66">
        <v>42856</v>
      </c>
      <c r="F222" s="76">
        <f>+'2-REGISTRACIONES'!G$133</f>
        <v>1015</v>
      </c>
      <c r="G222" s="3">
        <f t="shared" si="43"/>
        <v>1.1299999999999999</v>
      </c>
      <c r="H222" s="3">
        <f t="shared" si="44"/>
        <v>1146.9499999999998</v>
      </c>
      <c r="L222" s="86"/>
      <c r="M222" s="85"/>
    </row>
    <row r="223" spans="5:13" x14ac:dyDescent="0.25">
      <c r="E223" s="66">
        <v>42887</v>
      </c>
      <c r="F223" s="76">
        <f>+'2-REGISTRACIONES'!H$133</f>
        <v>1135</v>
      </c>
      <c r="G223" s="3">
        <f t="shared" si="43"/>
        <v>1.1200000000000001</v>
      </c>
      <c r="H223" s="3">
        <f t="shared" si="44"/>
        <v>1271.2</v>
      </c>
      <c r="L223" s="86"/>
      <c r="M223" s="85"/>
    </row>
    <row r="224" spans="5:13" x14ac:dyDescent="0.25">
      <c r="E224" s="66">
        <v>42917</v>
      </c>
      <c r="F224" s="76">
        <f>+'2-REGISTRACIONES'!I$133</f>
        <v>975</v>
      </c>
      <c r="G224" s="3">
        <f t="shared" si="43"/>
        <v>1.1000000000000001</v>
      </c>
      <c r="H224" s="3">
        <f t="shared" si="44"/>
        <v>1072.5</v>
      </c>
      <c r="L224" s="86"/>
      <c r="M224" s="85"/>
    </row>
    <row r="225" spans="5:13" x14ac:dyDescent="0.25">
      <c r="E225" s="66">
        <v>42948</v>
      </c>
      <c r="F225" s="76">
        <f>+'2-REGISTRACIONES'!J$133</f>
        <v>845</v>
      </c>
      <c r="G225" s="3">
        <f t="shared" si="43"/>
        <v>1.08</v>
      </c>
      <c r="H225" s="3">
        <f t="shared" si="44"/>
        <v>912.6</v>
      </c>
      <c r="L225" s="86"/>
      <c r="M225" s="85"/>
    </row>
    <row r="226" spans="5:13" x14ac:dyDescent="0.25">
      <c r="E226" s="66">
        <v>42979</v>
      </c>
      <c r="F226" s="76">
        <f>+'2-REGISTRACIONES'!K$133</f>
        <v>1356</v>
      </c>
      <c r="G226" s="3">
        <f t="shared" si="43"/>
        <v>1.06</v>
      </c>
      <c r="H226" s="3">
        <f t="shared" si="44"/>
        <v>1437.3600000000001</v>
      </c>
      <c r="L226" s="86"/>
      <c r="M226" s="85"/>
    </row>
    <row r="227" spans="5:13" x14ac:dyDescent="0.25">
      <c r="E227" s="66">
        <v>43009</v>
      </c>
      <c r="F227" s="76">
        <f>+'2-REGISTRACIONES'!L$133</f>
        <v>1243</v>
      </c>
      <c r="G227" s="3">
        <f t="shared" si="43"/>
        <v>1.05</v>
      </c>
      <c r="H227" s="3">
        <f t="shared" si="44"/>
        <v>1305.1500000000001</v>
      </c>
      <c r="L227" s="86"/>
      <c r="M227" s="85"/>
    </row>
    <row r="228" spans="5:13" x14ac:dyDescent="0.25">
      <c r="E228" s="66">
        <v>43040</v>
      </c>
      <c r="F228" s="76">
        <f>+'2-REGISTRACIONES'!M$133</f>
        <v>1436</v>
      </c>
      <c r="G228" s="3">
        <f t="shared" si="43"/>
        <v>1.03</v>
      </c>
      <c r="H228" s="3">
        <f t="shared" si="44"/>
        <v>1479.08</v>
      </c>
      <c r="L228" s="86"/>
      <c r="M228" s="85"/>
    </row>
    <row r="229" spans="5:13" x14ac:dyDescent="0.25">
      <c r="E229" s="65">
        <v>43070</v>
      </c>
      <c r="F229" s="76">
        <f>+'2-REGISTRACIONES'!N$133</f>
        <v>1563</v>
      </c>
      <c r="G229" s="50">
        <v>1</v>
      </c>
      <c r="H229" s="3">
        <f t="shared" si="44"/>
        <v>1563</v>
      </c>
      <c r="I229" s="61">
        <f>SUM(H218:H229)</f>
        <v>15062.83</v>
      </c>
      <c r="L229" s="86"/>
      <c r="M229" s="85"/>
    </row>
    <row r="230" spans="5:13" x14ac:dyDescent="0.25">
      <c r="F230" s="76">
        <f>SUM(F218:F229)</f>
        <v>13656</v>
      </c>
      <c r="H230" s="76">
        <f t="shared" ref="H230" si="45">SUM(H218:H229)</f>
        <v>15062.83</v>
      </c>
      <c r="L230" s="86" t="s">
        <v>243</v>
      </c>
      <c r="M230" s="60">
        <f>+H230-F230</f>
        <v>1406.83</v>
      </c>
    </row>
    <row r="231" spans="5:13" x14ac:dyDescent="0.25">
      <c r="E231" s="154" t="s">
        <v>205</v>
      </c>
      <c r="L231" s="86"/>
      <c r="M231" s="85"/>
    </row>
    <row r="232" spans="5:13" x14ac:dyDescent="0.25">
      <c r="E232" s="66">
        <v>42736</v>
      </c>
      <c r="F232" s="76">
        <f>+'2-REGISTRACIONES'!C$74</f>
        <v>10000</v>
      </c>
      <c r="G232" s="3">
        <f>+G218</f>
        <v>1.23</v>
      </c>
      <c r="H232" s="3">
        <f>+F232*G232</f>
        <v>12300</v>
      </c>
      <c r="L232" s="86"/>
      <c r="M232" s="60"/>
    </row>
    <row r="233" spans="5:13" x14ac:dyDescent="0.25">
      <c r="E233" s="66">
        <v>42767</v>
      </c>
      <c r="F233" s="76">
        <f>+'2-REGISTRACIONES'!D$74</f>
        <v>10000</v>
      </c>
      <c r="G233" s="3">
        <f t="shared" ref="G233:G242" si="46">+G219</f>
        <v>1.2</v>
      </c>
      <c r="H233" s="3">
        <f t="shared" ref="H233:H243" si="47">+F233*G233</f>
        <v>12000</v>
      </c>
      <c r="L233" s="86"/>
      <c r="M233" s="85"/>
    </row>
    <row r="234" spans="5:13" x14ac:dyDescent="0.25">
      <c r="E234" s="66">
        <v>42795</v>
      </c>
      <c r="F234" s="76">
        <f>+'2-REGISTRACIONES'!E$74</f>
        <v>10000</v>
      </c>
      <c r="G234" s="3">
        <f t="shared" si="46"/>
        <v>1.18</v>
      </c>
      <c r="H234" s="3">
        <f t="shared" si="47"/>
        <v>11800</v>
      </c>
      <c r="L234" s="86"/>
      <c r="M234" s="85"/>
    </row>
    <row r="235" spans="5:13" x14ac:dyDescent="0.25">
      <c r="E235" s="66">
        <v>42826</v>
      </c>
      <c r="F235" s="76">
        <f>+'2-REGISTRACIONES'!F$74</f>
        <v>10000</v>
      </c>
      <c r="G235" s="3">
        <f t="shared" si="46"/>
        <v>1.1499999999999999</v>
      </c>
      <c r="H235" s="3">
        <f t="shared" si="47"/>
        <v>11500</v>
      </c>
      <c r="L235" s="86"/>
      <c r="M235" s="85"/>
    </row>
    <row r="236" spans="5:13" x14ac:dyDescent="0.25">
      <c r="E236" s="66">
        <v>42856</v>
      </c>
      <c r="F236" s="76">
        <f>+'2-REGISTRACIONES'!G$74</f>
        <v>10000</v>
      </c>
      <c r="G236" s="3">
        <f t="shared" si="46"/>
        <v>1.1299999999999999</v>
      </c>
      <c r="H236" s="3">
        <f t="shared" si="47"/>
        <v>11299.999999999998</v>
      </c>
      <c r="L236" s="86"/>
      <c r="M236" s="85"/>
    </row>
    <row r="237" spans="5:13" x14ac:dyDescent="0.25">
      <c r="E237" s="66">
        <v>42887</v>
      </c>
      <c r="F237" s="76">
        <f>+'2-REGISTRACIONES'!H$74</f>
        <v>15000</v>
      </c>
      <c r="G237" s="3">
        <f t="shared" si="46"/>
        <v>1.1200000000000001</v>
      </c>
      <c r="H237" s="3">
        <f t="shared" si="47"/>
        <v>16800</v>
      </c>
      <c r="L237" s="86"/>
      <c r="M237" s="85"/>
    </row>
    <row r="238" spans="5:13" x14ac:dyDescent="0.25">
      <c r="E238" s="66">
        <v>42917</v>
      </c>
      <c r="F238" s="76">
        <f>+'2-REGISTRACIONES'!I$74</f>
        <v>10000</v>
      </c>
      <c r="G238" s="3">
        <f t="shared" si="46"/>
        <v>1.1000000000000001</v>
      </c>
      <c r="H238" s="3">
        <f t="shared" si="47"/>
        <v>11000</v>
      </c>
      <c r="L238" s="86"/>
      <c r="M238" s="85"/>
    </row>
    <row r="239" spans="5:13" x14ac:dyDescent="0.25">
      <c r="E239" s="66">
        <v>42948</v>
      </c>
      <c r="F239" s="76">
        <f>+'2-REGISTRACIONES'!J$74</f>
        <v>11500</v>
      </c>
      <c r="G239" s="3">
        <f t="shared" si="46"/>
        <v>1.08</v>
      </c>
      <c r="H239" s="3">
        <f t="shared" si="47"/>
        <v>12420</v>
      </c>
      <c r="L239" s="86"/>
      <c r="M239" s="85"/>
    </row>
    <row r="240" spans="5:13" x14ac:dyDescent="0.25">
      <c r="E240" s="66">
        <v>42979</v>
      </c>
      <c r="F240" s="76">
        <f>+'2-REGISTRACIONES'!K$74</f>
        <v>11500</v>
      </c>
      <c r="G240" s="3">
        <f t="shared" si="46"/>
        <v>1.06</v>
      </c>
      <c r="H240" s="3">
        <f t="shared" si="47"/>
        <v>12190</v>
      </c>
      <c r="L240" s="86"/>
      <c r="M240" s="85"/>
    </row>
    <row r="241" spans="5:13" x14ac:dyDescent="0.25">
      <c r="E241" s="66">
        <v>43009</v>
      </c>
      <c r="F241" s="76">
        <f>+'2-REGISTRACIONES'!L$74</f>
        <v>11500</v>
      </c>
      <c r="G241" s="3">
        <f t="shared" si="46"/>
        <v>1.05</v>
      </c>
      <c r="H241" s="3">
        <f t="shared" si="47"/>
        <v>12075</v>
      </c>
      <c r="L241" s="86"/>
      <c r="M241" s="85"/>
    </row>
    <row r="242" spans="5:13" x14ac:dyDescent="0.25">
      <c r="E242" s="66">
        <v>43040</v>
      </c>
      <c r="F242" s="76">
        <f>+'2-REGISTRACIONES'!M$74</f>
        <v>11500</v>
      </c>
      <c r="G242" s="3">
        <f t="shared" si="46"/>
        <v>1.03</v>
      </c>
      <c r="H242" s="3">
        <f t="shared" si="47"/>
        <v>11845</v>
      </c>
      <c r="L242" s="86"/>
      <c r="M242" s="85"/>
    </row>
    <row r="243" spans="5:13" x14ac:dyDescent="0.25">
      <c r="E243" s="65">
        <v>43070</v>
      </c>
      <c r="F243" s="76">
        <f>+'2-REGISTRACIONES'!N$74</f>
        <v>17250</v>
      </c>
      <c r="G243" s="50">
        <v>1</v>
      </c>
      <c r="H243" s="3">
        <f t="shared" si="47"/>
        <v>17250</v>
      </c>
      <c r="I243" s="61">
        <f>SUM(H232:H243)</f>
        <v>152480</v>
      </c>
      <c r="L243" s="86"/>
      <c r="M243" s="85"/>
    </row>
    <row r="244" spans="5:13" x14ac:dyDescent="0.25">
      <c r="E244" s="3"/>
      <c r="F244" s="3">
        <f>SUM(F232:F243)</f>
        <v>138250</v>
      </c>
      <c r="G244" s="3"/>
      <c r="H244" s="3">
        <f t="shared" ref="H244" si="48">SUM(H232:H243)</f>
        <v>152480</v>
      </c>
      <c r="L244" s="86" t="s">
        <v>244</v>
      </c>
      <c r="M244" s="60">
        <f>+H244-F244</f>
        <v>14230</v>
      </c>
    </row>
    <row r="245" spans="5:13" x14ac:dyDescent="0.25">
      <c r="E245" s="154" t="s">
        <v>206</v>
      </c>
      <c r="L245" s="86"/>
      <c r="M245" s="85"/>
    </row>
    <row r="246" spans="5:13" x14ac:dyDescent="0.25">
      <c r="E246" s="66">
        <v>42736</v>
      </c>
      <c r="F246" s="76">
        <f>+'2-REGISTRACIONES'!C$76</f>
        <v>8000</v>
      </c>
      <c r="G246" s="3">
        <f>+G232</f>
        <v>1.23</v>
      </c>
      <c r="H246" s="3">
        <f>+F246*G246</f>
        <v>9840</v>
      </c>
      <c r="L246" s="86"/>
      <c r="M246" s="85"/>
    </row>
    <row r="247" spans="5:13" x14ac:dyDescent="0.25">
      <c r="E247" s="66">
        <v>42767</v>
      </c>
      <c r="F247" s="76">
        <f>+'2-REGISTRACIONES'!D$76</f>
        <v>8000</v>
      </c>
      <c r="G247" s="3">
        <f t="shared" ref="G247:G256" si="49">+G233</f>
        <v>1.2</v>
      </c>
      <c r="H247" s="3">
        <f t="shared" ref="H247:H257" si="50">+F247*G247</f>
        <v>9600</v>
      </c>
      <c r="L247" s="86"/>
      <c r="M247" s="85"/>
    </row>
    <row r="248" spans="5:13" x14ac:dyDescent="0.25">
      <c r="E248" s="66">
        <v>42795</v>
      </c>
      <c r="F248" s="76">
        <f>+'2-REGISTRACIONES'!E$76</f>
        <v>8000</v>
      </c>
      <c r="G248" s="3">
        <f t="shared" si="49"/>
        <v>1.18</v>
      </c>
      <c r="H248" s="3">
        <f t="shared" si="50"/>
        <v>9440</v>
      </c>
      <c r="L248" s="86"/>
      <c r="M248" s="85"/>
    </row>
    <row r="249" spans="5:13" x14ac:dyDescent="0.25">
      <c r="E249" s="66">
        <v>42826</v>
      </c>
      <c r="F249" s="76">
        <f>+'2-REGISTRACIONES'!F$76</f>
        <v>8000</v>
      </c>
      <c r="G249" s="3">
        <f t="shared" si="49"/>
        <v>1.1499999999999999</v>
      </c>
      <c r="H249" s="3">
        <f t="shared" si="50"/>
        <v>9200</v>
      </c>
      <c r="L249" s="86"/>
      <c r="M249" s="85"/>
    </row>
    <row r="250" spans="5:13" x14ac:dyDescent="0.25">
      <c r="E250" s="66">
        <v>42856</v>
      </c>
      <c r="F250" s="76">
        <f>+'2-REGISTRACIONES'!G$76</f>
        <v>8000</v>
      </c>
      <c r="G250" s="3">
        <f t="shared" si="49"/>
        <v>1.1299999999999999</v>
      </c>
      <c r="H250" s="3">
        <f t="shared" si="50"/>
        <v>9040</v>
      </c>
      <c r="L250" s="86"/>
      <c r="M250" s="85"/>
    </row>
    <row r="251" spans="5:13" x14ac:dyDescent="0.25">
      <c r="E251" s="66">
        <v>42887</v>
      </c>
      <c r="F251" s="76">
        <f>+'2-REGISTRACIONES'!H$76</f>
        <v>12000</v>
      </c>
      <c r="G251" s="3">
        <f t="shared" si="49"/>
        <v>1.1200000000000001</v>
      </c>
      <c r="H251" s="3">
        <f t="shared" si="50"/>
        <v>13440.000000000002</v>
      </c>
      <c r="L251" s="86"/>
      <c r="M251" s="85"/>
    </row>
    <row r="252" spans="5:13" x14ac:dyDescent="0.25">
      <c r="E252" s="66">
        <v>42917</v>
      </c>
      <c r="F252" s="76">
        <f>+'2-REGISTRACIONES'!I$76</f>
        <v>8000</v>
      </c>
      <c r="G252" s="3">
        <f t="shared" si="49"/>
        <v>1.1000000000000001</v>
      </c>
      <c r="H252" s="3">
        <f t="shared" si="50"/>
        <v>8800</v>
      </c>
      <c r="L252" s="86"/>
      <c r="M252" s="85"/>
    </row>
    <row r="253" spans="5:13" x14ac:dyDescent="0.25">
      <c r="E253" s="66">
        <v>42948</v>
      </c>
      <c r="F253" s="76">
        <f>+'2-REGISTRACIONES'!J$76</f>
        <v>9200</v>
      </c>
      <c r="G253" s="3">
        <f t="shared" si="49"/>
        <v>1.08</v>
      </c>
      <c r="H253" s="3">
        <f t="shared" si="50"/>
        <v>9936</v>
      </c>
      <c r="L253" s="86"/>
      <c r="M253" s="85"/>
    </row>
    <row r="254" spans="5:13" x14ac:dyDescent="0.25">
      <c r="E254" s="66">
        <v>42979</v>
      </c>
      <c r="F254" s="76">
        <f>+'2-REGISTRACIONES'!K$76</f>
        <v>9200</v>
      </c>
      <c r="G254" s="3">
        <f t="shared" si="49"/>
        <v>1.06</v>
      </c>
      <c r="H254" s="3">
        <f t="shared" si="50"/>
        <v>9752</v>
      </c>
      <c r="L254" s="86"/>
      <c r="M254" s="85"/>
    </row>
    <row r="255" spans="5:13" x14ac:dyDescent="0.25">
      <c r="E255" s="66">
        <v>43009</v>
      </c>
      <c r="F255" s="76">
        <f>+'2-REGISTRACIONES'!L$76</f>
        <v>9200</v>
      </c>
      <c r="G255" s="3">
        <f t="shared" si="49"/>
        <v>1.05</v>
      </c>
      <c r="H255" s="3">
        <f t="shared" si="50"/>
        <v>9660</v>
      </c>
      <c r="L255" s="86"/>
      <c r="M255" s="85"/>
    </row>
    <row r="256" spans="5:13" x14ac:dyDescent="0.25">
      <c r="E256" s="66">
        <v>43040</v>
      </c>
      <c r="F256" s="76">
        <f>+'2-REGISTRACIONES'!M$76</f>
        <v>9200</v>
      </c>
      <c r="G256" s="3">
        <f t="shared" si="49"/>
        <v>1.03</v>
      </c>
      <c r="H256" s="3">
        <f t="shared" si="50"/>
        <v>9476</v>
      </c>
      <c r="L256" s="86"/>
      <c r="M256" s="85"/>
    </row>
    <row r="257" spans="5:13" x14ac:dyDescent="0.25">
      <c r="E257" s="65">
        <v>43070</v>
      </c>
      <c r="F257" s="76">
        <f>+'2-REGISTRACIONES'!N$76</f>
        <v>13800</v>
      </c>
      <c r="G257" s="50">
        <v>1</v>
      </c>
      <c r="H257" s="3">
        <f t="shared" si="50"/>
        <v>13800</v>
      </c>
      <c r="I257" s="61">
        <f>SUM(H246:H257)</f>
        <v>121984</v>
      </c>
      <c r="L257" s="86"/>
      <c r="M257" s="85"/>
    </row>
    <row r="258" spans="5:13" x14ac:dyDescent="0.25">
      <c r="E258" s="3"/>
      <c r="F258" s="3">
        <f>SUM(F246:F257)</f>
        <v>110600</v>
      </c>
      <c r="G258" s="3"/>
      <c r="H258" s="3">
        <f t="shared" ref="H258" si="51">SUM(H246:H257)</f>
        <v>121984</v>
      </c>
      <c r="L258" s="86" t="s">
        <v>245</v>
      </c>
      <c r="M258" s="60">
        <f>+H258-F258</f>
        <v>11384</v>
      </c>
    </row>
    <row r="259" spans="5:13" x14ac:dyDescent="0.25">
      <c r="E259" s="154" t="s">
        <v>207</v>
      </c>
      <c r="L259" s="86"/>
      <c r="M259" s="85"/>
    </row>
    <row r="260" spans="5:13" x14ac:dyDescent="0.25">
      <c r="E260" s="66">
        <v>42736</v>
      </c>
      <c r="F260" s="76">
        <f>+'2-REGISTRACIONES'!C$75</f>
        <v>3300</v>
      </c>
      <c r="G260" s="3">
        <f>+G246</f>
        <v>1.23</v>
      </c>
      <c r="H260" s="3">
        <f>+F260*G260</f>
        <v>4059</v>
      </c>
      <c r="L260" s="86"/>
      <c r="M260" s="85"/>
    </row>
    <row r="261" spans="5:13" x14ac:dyDescent="0.25">
      <c r="E261" s="66">
        <v>42767</v>
      </c>
      <c r="F261" s="76">
        <f>+'2-REGISTRACIONES'!D$75</f>
        <v>3300</v>
      </c>
      <c r="G261" s="3">
        <f t="shared" ref="G261:G270" si="52">+G247</f>
        <v>1.2</v>
      </c>
      <c r="H261" s="3">
        <f t="shared" ref="H261:H271" si="53">+F261*G261</f>
        <v>3960</v>
      </c>
      <c r="L261" s="86"/>
      <c r="M261" s="85"/>
    </row>
    <row r="262" spans="5:13" x14ac:dyDescent="0.25">
      <c r="E262" s="66">
        <v>42795</v>
      </c>
      <c r="F262" s="76">
        <f>+'2-REGISTRACIONES'!E$75</f>
        <v>3300</v>
      </c>
      <c r="G262" s="3">
        <f t="shared" si="52"/>
        <v>1.18</v>
      </c>
      <c r="H262" s="3">
        <f t="shared" si="53"/>
        <v>3894</v>
      </c>
      <c r="L262" s="86"/>
      <c r="M262" s="85"/>
    </row>
    <row r="263" spans="5:13" x14ac:dyDescent="0.25">
      <c r="E263" s="66">
        <v>42826</v>
      </c>
      <c r="F263" s="76">
        <f>+'2-REGISTRACIONES'!F$75</f>
        <v>3300</v>
      </c>
      <c r="G263" s="3">
        <f t="shared" si="52"/>
        <v>1.1499999999999999</v>
      </c>
      <c r="H263" s="3">
        <f t="shared" si="53"/>
        <v>3794.9999999999995</v>
      </c>
      <c r="L263" s="86"/>
      <c r="M263" s="85"/>
    </row>
    <row r="264" spans="5:13" x14ac:dyDescent="0.25">
      <c r="E264" s="66">
        <v>42856</v>
      </c>
      <c r="F264" s="76">
        <f>+'2-REGISTRACIONES'!G$75</f>
        <v>3300</v>
      </c>
      <c r="G264" s="3">
        <f t="shared" si="52"/>
        <v>1.1299999999999999</v>
      </c>
      <c r="H264" s="3">
        <f t="shared" si="53"/>
        <v>3728.9999999999995</v>
      </c>
      <c r="L264" s="86"/>
      <c r="M264" s="85"/>
    </row>
    <row r="265" spans="5:13" x14ac:dyDescent="0.25">
      <c r="E265" s="66">
        <v>42887</v>
      </c>
      <c r="F265" s="76">
        <f>+'2-REGISTRACIONES'!H$75</f>
        <v>4950</v>
      </c>
      <c r="G265" s="3">
        <f t="shared" si="52"/>
        <v>1.1200000000000001</v>
      </c>
      <c r="H265" s="3">
        <f t="shared" si="53"/>
        <v>5544.0000000000009</v>
      </c>
      <c r="L265" s="86"/>
      <c r="M265" s="85"/>
    </row>
    <row r="266" spans="5:13" x14ac:dyDescent="0.25">
      <c r="E266" s="66">
        <v>42917</v>
      </c>
      <c r="F266" s="76">
        <f>+'2-REGISTRACIONES'!I$75</f>
        <v>3300</v>
      </c>
      <c r="G266" s="3">
        <f t="shared" si="52"/>
        <v>1.1000000000000001</v>
      </c>
      <c r="H266" s="3">
        <f t="shared" si="53"/>
        <v>3630.0000000000005</v>
      </c>
      <c r="L266" s="86"/>
      <c r="M266" s="85"/>
    </row>
    <row r="267" spans="5:13" x14ac:dyDescent="0.25">
      <c r="E267" s="66">
        <v>42948</v>
      </c>
      <c r="F267" s="76">
        <f>+'2-REGISTRACIONES'!J$75</f>
        <v>3795</v>
      </c>
      <c r="G267" s="3">
        <f t="shared" si="52"/>
        <v>1.08</v>
      </c>
      <c r="H267" s="3">
        <f t="shared" si="53"/>
        <v>4098.6000000000004</v>
      </c>
      <c r="L267" s="86"/>
      <c r="M267" s="85"/>
    </row>
    <row r="268" spans="5:13" x14ac:dyDescent="0.25">
      <c r="E268" s="66">
        <v>42979</v>
      </c>
      <c r="F268" s="76">
        <f>+'2-REGISTRACIONES'!K$75</f>
        <v>3795</v>
      </c>
      <c r="G268" s="3">
        <f t="shared" si="52"/>
        <v>1.06</v>
      </c>
      <c r="H268" s="3">
        <f t="shared" si="53"/>
        <v>4022.7000000000003</v>
      </c>
      <c r="L268" s="86"/>
      <c r="M268" s="85"/>
    </row>
    <row r="269" spans="5:13" x14ac:dyDescent="0.25">
      <c r="E269" s="66">
        <v>43009</v>
      </c>
      <c r="F269" s="76">
        <f>+'2-REGISTRACIONES'!L$75</f>
        <v>3795</v>
      </c>
      <c r="G269" s="3">
        <f t="shared" si="52"/>
        <v>1.05</v>
      </c>
      <c r="H269" s="3">
        <f t="shared" si="53"/>
        <v>3984.75</v>
      </c>
      <c r="L269" s="86"/>
      <c r="M269" s="85"/>
    </row>
    <row r="270" spans="5:13" x14ac:dyDescent="0.25">
      <c r="E270" s="66">
        <v>43040</v>
      </c>
      <c r="F270" s="76">
        <f>+'2-REGISTRACIONES'!M$75</f>
        <v>3795</v>
      </c>
      <c r="G270" s="3">
        <f t="shared" si="52"/>
        <v>1.03</v>
      </c>
      <c r="H270" s="3">
        <f t="shared" si="53"/>
        <v>3908.85</v>
      </c>
      <c r="L270" s="86"/>
      <c r="M270" s="85"/>
    </row>
    <row r="271" spans="5:13" x14ac:dyDescent="0.25">
      <c r="E271" s="65">
        <v>43070</v>
      </c>
      <c r="F271" s="76">
        <f>+'2-REGISTRACIONES'!N$75</f>
        <v>5692.5</v>
      </c>
      <c r="G271" s="50">
        <v>1</v>
      </c>
      <c r="H271" s="3">
        <f t="shared" si="53"/>
        <v>5692.5</v>
      </c>
      <c r="I271" s="61">
        <f>SUM(H260:H271)</f>
        <v>50318.399999999994</v>
      </c>
      <c r="L271" s="86"/>
      <c r="M271" s="85"/>
    </row>
    <row r="272" spans="5:13" x14ac:dyDescent="0.25">
      <c r="E272" s="3"/>
      <c r="F272" s="3">
        <f>SUM(F260:F271)</f>
        <v>45622.5</v>
      </c>
      <c r="G272" s="3"/>
      <c r="H272" s="3">
        <f t="shared" ref="H272" si="54">SUM(H260:H271)</f>
        <v>50318.399999999994</v>
      </c>
      <c r="I272"/>
      <c r="J272"/>
      <c r="K272"/>
      <c r="L272" s="92" t="s">
        <v>246</v>
      </c>
      <c r="M272" s="60">
        <f>+H272-F272</f>
        <v>4695.8999999999942</v>
      </c>
    </row>
    <row r="273" spans="5:13" x14ac:dyDescent="0.25">
      <c r="E273" s="154" t="s">
        <v>208</v>
      </c>
      <c r="L273" s="86"/>
      <c r="M273" s="85"/>
    </row>
    <row r="274" spans="5:13" x14ac:dyDescent="0.25">
      <c r="E274" s="66">
        <v>42736</v>
      </c>
      <c r="F274" s="76">
        <f>+'2-REGISTRACIONES'!C$77</f>
        <v>2640</v>
      </c>
      <c r="G274" s="3">
        <f>+G260</f>
        <v>1.23</v>
      </c>
      <c r="H274" s="3">
        <f>+F274*G274</f>
        <v>3247.2</v>
      </c>
      <c r="L274" s="86"/>
      <c r="M274" s="85"/>
    </row>
    <row r="275" spans="5:13" x14ac:dyDescent="0.25">
      <c r="E275" s="66">
        <v>42767</v>
      </c>
      <c r="F275" s="76">
        <f>+'2-REGISTRACIONES'!D$77</f>
        <v>2640</v>
      </c>
      <c r="G275" s="3">
        <f t="shared" ref="G275:G284" si="55">+G261</f>
        <v>1.2</v>
      </c>
      <c r="H275" s="3">
        <f t="shared" ref="H275:H285" si="56">+F275*G275</f>
        <v>3168</v>
      </c>
      <c r="L275" s="86"/>
      <c r="M275" s="85"/>
    </row>
    <row r="276" spans="5:13" x14ac:dyDescent="0.25">
      <c r="E276" s="66">
        <v>42795</v>
      </c>
      <c r="F276" s="76">
        <f>+'2-REGISTRACIONES'!E$77</f>
        <v>2640</v>
      </c>
      <c r="G276" s="3">
        <f t="shared" si="55"/>
        <v>1.18</v>
      </c>
      <c r="H276" s="3">
        <f t="shared" si="56"/>
        <v>3115.2</v>
      </c>
      <c r="L276" s="86"/>
      <c r="M276" s="85"/>
    </row>
    <row r="277" spans="5:13" x14ac:dyDescent="0.25">
      <c r="E277" s="66">
        <v>42826</v>
      </c>
      <c r="F277" s="76">
        <f>+'2-REGISTRACIONES'!F$77</f>
        <v>2640</v>
      </c>
      <c r="G277" s="3">
        <f t="shared" si="55"/>
        <v>1.1499999999999999</v>
      </c>
      <c r="H277" s="3">
        <f t="shared" si="56"/>
        <v>3035.9999999999995</v>
      </c>
      <c r="L277" s="86"/>
      <c r="M277" s="85"/>
    </row>
    <row r="278" spans="5:13" x14ac:dyDescent="0.25">
      <c r="E278" s="66">
        <v>42856</v>
      </c>
      <c r="F278" s="76">
        <f>+'2-REGISTRACIONES'!G$77</f>
        <v>2640</v>
      </c>
      <c r="G278" s="3">
        <f t="shared" si="55"/>
        <v>1.1299999999999999</v>
      </c>
      <c r="H278" s="3">
        <f t="shared" si="56"/>
        <v>2983.2</v>
      </c>
      <c r="L278" s="86"/>
      <c r="M278" s="85"/>
    </row>
    <row r="279" spans="5:13" x14ac:dyDescent="0.25">
      <c r="E279" s="66">
        <v>42887</v>
      </c>
      <c r="F279" s="76">
        <f>+'2-REGISTRACIONES'!H$77</f>
        <v>3960</v>
      </c>
      <c r="G279" s="3">
        <f t="shared" si="55"/>
        <v>1.1200000000000001</v>
      </c>
      <c r="H279" s="3">
        <f t="shared" si="56"/>
        <v>4435.2000000000007</v>
      </c>
      <c r="L279" s="86"/>
      <c r="M279" s="85"/>
    </row>
    <row r="280" spans="5:13" x14ac:dyDescent="0.25">
      <c r="E280" s="66">
        <v>42917</v>
      </c>
      <c r="F280" s="76">
        <f>+'2-REGISTRACIONES'!I$77</f>
        <v>2640</v>
      </c>
      <c r="G280" s="3">
        <f t="shared" si="55"/>
        <v>1.1000000000000001</v>
      </c>
      <c r="H280" s="3">
        <f t="shared" si="56"/>
        <v>2904.0000000000005</v>
      </c>
      <c r="L280" s="86"/>
      <c r="M280" s="85"/>
    </row>
    <row r="281" spans="5:13" x14ac:dyDescent="0.25">
      <c r="E281" s="66">
        <v>42948</v>
      </c>
      <c r="F281" s="76">
        <f>+'2-REGISTRACIONES'!J$77</f>
        <v>3036</v>
      </c>
      <c r="G281" s="3">
        <f t="shared" si="55"/>
        <v>1.08</v>
      </c>
      <c r="H281" s="3">
        <f t="shared" si="56"/>
        <v>3278.88</v>
      </c>
      <c r="L281" s="86"/>
      <c r="M281" s="85"/>
    </row>
    <row r="282" spans="5:13" x14ac:dyDescent="0.25">
      <c r="E282" s="66">
        <v>42979</v>
      </c>
      <c r="F282" s="76">
        <f>+'2-REGISTRACIONES'!K$77</f>
        <v>3036</v>
      </c>
      <c r="G282" s="3">
        <f t="shared" si="55"/>
        <v>1.06</v>
      </c>
      <c r="H282" s="3">
        <f t="shared" si="56"/>
        <v>3218.1600000000003</v>
      </c>
      <c r="L282" s="86"/>
      <c r="M282" s="85"/>
    </row>
    <row r="283" spans="5:13" x14ac:dyDescent="0.25">
      <c r="E283" s="66">
        <v>43009</v>
      </c>
      <c r="F283" s="76">
        <f>+'2-REGISTRACIONES'!L$77</f>
        <v>3036</v>
      </c>
      <c r="G283" s="3">
        <f t="shared" si="55"/>
        <v>1.05</v>
      </c>
      <c r="H283" s="3">
        <f t="shared" si="56"/>
        <v>3187.8</v>
      </c>
      <c r="L283" s="86"/>
      <c r="M283" s="85"/>
    </row>
    <row r="284" spans="5:13" x14ac:dyDescent="0.25">
      <c r="E284" s="66">
        <v>43040</v>
      </c>
      <c r="F284" s="76">
        <f>+'2-REGISTRACIONES'!M$77</f>
        <v>3036</v>
      </c>
      <c r="G284" s="3">
        <f t="shared" si="55"/>
        <v>1.03</v>
      </c>
      <c r="H284" s="3">
        <f t="shared" si="56"/>
        <v>3127.08</v>
      </c>
      <c r="L284" s="86"/>
      <c r="M284" s="85"/>
    </row>
    <row r="285" spans="5:13" x14ac:dyDescent="0.25">
      <c r="E285" s="65">
        <v>43070</v>
      </c>
      <c r="F285" s="76">
        <f>+'2-REGISTRACIONES'!N$77</f>
        <v>4554</v>
      </c>
      <c r="G285" s="50">
        <v>1</v>
      </c>
      <c r="H285" s="3">
        <f t="shared" si="56"/>
        <v>4554</v>
      </c>
      <c r="I285" s="61">
        <f>SUM(H274:H285)</f>
        <v>40254.720000000001</v>
      </c>
      <c r="L285" s="86"/>
      <c r="M285" s="85"/>
    </row>
    <row r="286" spans="5:13" x14ac:dyDescent="0.25">
      <c r="F286" s="76">
        <f>SUM(F274:F285)</f>
        <v>36498</v>
      </c>
      <c r="H286" s="76">
        <f t="shared" ref="H286" si="57">SUM(H274:H285)</f>
        <v>40254.720000000001</v>
      </c>
      <c r="L286" s="86" t="s">
        <v>247</v>
      </c>
      <c r="M286" s="60">
        <f>+H286-F286</f>
        <v>3756.7200000000012</v>
      </c>
    </row>
    <row r="287" spans="5:13" x14ac:dyDescent="0.25">
      <c r="E287" s="154" t="s">
        <v>209</v>
      </c>
      <c r="L287" s="86"/>
      <c r="M287" s="85"/>
    </row>
    <row r="288" spans="5:13" x14ac:dyDescent="0.25">
      <c r="E288" s="66">
        <v>42736</v>
      </c>
      <c r="F288" s="76">
        <f>+'2-REGISTRACIONES'!C$112</f>
        <v>4278.42</v>
      </c>
      <c r="G288" s="3">
        <f>+G274</f>
        <v>1.23</v>
      </c>
      <c r="H288" s="3">
        <f>+F288*G288</f>
        <v>5262.4566000000004</v>
      </c>
      <c r="L288" s="86"/>
      <c r="M288" s="85"/>
    </row>
    <row r="289" spans="5:13" x14ac:dyDescent="0.25">
      <c r="E289" s="66">
        <v>42767</v>
      </c>
      <c r="F289" s="76">
        <f>+'2-REGISTRACIONES'!D$112</f>
        <v>3785.94</v>
      </c>
      <c r="G289" s="3">
        <f t="shared" ref="G289:G298" si="58">+G275</f>
        <v>1.2</v>
      </c>
      <c r="H289" s="3">
        <f t="shared" ref="H289:H299" si="59">+F289*G289</f>
        <v>4543.1279999999997</v>
      </c>
      <c r="L289" s="86"/>
      <c r="M289" s="85"/>
    </row>
    <row r="290" spans="5:13" x14ac:dyDescent="0.25">
      <c r="E290" s="66">
        <v>42795</v>
      </c>
      <c r="F290" s="76">
        <f>+'2-REGISTRACIONES'!E$112</f>
        <v>3437.91</v>
      </c>
      <c r="G290" s="3">
        <f t="shared" si="58"/>
        <v>1.18</v>
      </c>
      <c r="H290" s="3">
        <f t="shared" si="59"/>
        <v>4056.7337999999995</v>
      </c>
      <c r="L290" s="86"/>
      <c r="M290" s="85"/>
    </row>
    <row r="291" spans="5:13" x14ac:dyDescent="0.25">
      <c r="E291" s="66">
        <v>42826</v>
      </c>
      <c r="F291" s="76">
        <f>+'2-REGISTRACIONES'!F$112</f>
        <v>4433.9399999999996</v>
      </c>
      <c r="G291" s="3">
        <f t="shared" si="58"/>
        <v>1.1499999999999999</v>
      </c>
      <c r="H291" s="3">
        <f t="shared" si="59"/>
        <v>5099.030999999999</v>
      </c>
      <c r="L291" s="86"/>
      <c r="M291" s="85"/>
    </row>
    <row r="292" spans="5:13" x14ac:dyDescent="0.25">
      <c r="E292" s="66">
        <v>42856</v>
      </c>
      <c r="F292" s="76">
        <f>+'2-REGISTRACIONES'!G$112</f>
        <v>4050</v>
      </c>
      <c r="G292" s="3">
        <f t="shared" si="58"/>
        <v>1.1299999999999999</v>
      </c>
      <c r="H292" s="3">
        <f t="shared" si="59"/>
        <v>4576.5</v>
      </c>
      <c r="L292" s="86"/>
      <c r="M292" s="85"/>
    </row>
    <row r="293" spans="5:13" x14ac:dyDescent="0.25">
      <c r="E293" s="66">
        <v>42887</v>
      </c>
      <c r="F293" s="76">
        <f>+'2-REGISTRACIONES'!H$112</f>
        <v>4966.92</v>
      </c>
      <c r="G293" s="3">
        <f t="shared" si="58"/>
        <v>1.1200000000000001</v>
      </c>
      <c r="H293" s="3">
        <f t="shared" si="59"/>
        <v>5562.9504000000006</v>
      </c>
      <c r="L293" s="86"/>
      <c r="M293" s="85"/>
    </row>
    <row r="294" spans="5:13" x14ac:dyDescent="0.25">
      <c r="E294" s="66">
        <v>42917</v>
      </c>
      <c r="F294" s="76">
        <f>+'2-REGISTRACIONES'!I$112</f>
        <v>5712.12</v>
      </c>
      <c r="G294" s="3">
        <f t="shared" si="58"/>
        <v>1.1000000000000001</v>
      </c>
      <c r="H294" s="3">
        <f t="shared" si="59"/>
        <v>6283.3320000000003</v>
      </c>
      <c r="L294" s="86"/>
      <c r="M294" s="85"/>
    </row>
    <row r="295" spans="5:13" x14ac:dyDescent="0.25">
      <c r="E295" s="66">
        <v>42948</v>
      </c>
      <c r="F295" s="76">
        <f>+'2-REGISTRACIONES'!J$112</f>
        <v>5788.8</v>
      </c>
      <c r="G295" s="3">
        <f t="shared" si="58"/>
        <v>1.08</v>
      </c>
      <c r="H295" s="3">
        <f t="shared" si="59"/>
        <v>6251.9040000000005</v>
      </c>
      <c r="L295" s="86"/>
      <c r="M295" s="85"/>
    </row>
    <row r="296" spans="5:13" x14ac:dyDescent="0.25">
      <c r="E296" s="66">
        <v>42979</v>
      </c>
      <c r="F296" s="76">
        <f>+'2-REGISTRACIONES'!K$112</f>
        <v>5924.34</v>
      </c>
      <c r="G296" s="3">
        <f t="shared" si="58"/>
        <v>1.06</v>
      </c>
      <c r="H296" s="3">
        <f t="shared" si="59"/>
        <v>6279.8004000000001</v>
      </c>
      <c r="L296" s="86"/>
      <c r="M296" s="85"/>
    </row>
    <row r="297" spans="5:13" x14ac:dyDescent="0.25">
      <c r="E297" s="66">
        <v>43009</v>
      </c>
      <c r="F297" s="76">
        <f>+'2-REGISTRACIONES'!L$112</f>
        <v>6073.38</v>
      </c>
      <c r="G297" s="3">
        <f t="shared" si="58"/>
        <v>1.05</v>
      </c>
      <c r="H297" s="3">
        <f t="shared" si="59"/>
        <v>6377.049</v>
      </c>
      <c r="L297" s="86"/>
      <c r="M297" s="85"/>
    </row>
    <row r="298" spans="5:13" x14ac:dyDescent="0.25">
      <c r="E298" s="66">
        <v>43040</v>
      </c>
      <c r="F298" s="76">
        <f>+'2-REGISTRACIONES'!M$112</f>
        <v>6433.83</v>
      </c>
      <c r="G298" s="3">
        <f t="shared" si="58"/>
        <v>1.03</v>
      </c>
      <c r="H298" s="3">
        <f t="shared" si="59"/>
        <v>6626.8449000000001</v>
      </c>
      <c r="L298" s="86"/>
      <c r="M298" s="85"/>
    </row>
    <row r="299" spans="5:13" x14ac:dyDescent="0.25">
      <c r="E299" s="65">
        <v>43070</v>
      </c>
      <c r="F299" s="76">
        <f>+'2-REGISTRACIONES'!N$112</f>
        <v>7410.96</v>
      </c>
      <c r="G299" s="50">
        <v>1</v>
      </c>
      <c r="H299" s="3">
        <f t="shared" si="59"/>
        <v>7410.96</v>
      </c>
      <c r="I299" s="61">
        <f>SUM(H288:H299)</f>
        <v>68330.690100000007</v>
      </c>
      <c r="L299" s="86"/>
      <c r="M299" s="85"/>
    </row>
    <row r="300" spans="5:13" x14ac:dyDescent="0.25">
      <c r="F300" s="76">
        <f>SUM(F288:F299)</f>
        <v>62296.56</v>
      </c>
      <c r="H300" s="76">
        <f t="shared" ref="H300" si="60">SUM(H288:H299)</f>
        <v>68330.690100000007</v>
      </c>
      <c r="L300" s="86" t="s">
        <v>248</v>
      </c>
      <c r="M300" s="60">
        <f>+H300-F300</f>
        <v>6034.1301000000094</v>
      </c>
    </row>
    <row r="301" spans="5:13" x14ac:dyDescent="0.25">
      <c r="E301" s="154" t="s">
        <v>210</v>
      </c>
      <c r="L301" s="86"/>
      <c r="M301" s="85"/>
    </row>
    <row r="302" spans="5:13" x14ac:dyDescent="0.25">
      <c r="E302" s="66">
        <v>42736</v>
      </c>
      <c r="F302" s="76">
        <f>+'2-REGISTRACIONES'!C$113</f>
        <v>356</v>
      </c>
      <c r="G302" s="3">
        <f>+G288</f>
        <v>1.23</v>
      </c>
      <c r="H302" s="3">
        <f>+F302*G302</f>
        <v>437.88</v>
      </c>
      <c r="L302" s="86"/>
      <c r="M302" s="85"/>
    </row>
    <row r="303" spans="5:13" x14ac:dyDescent="0.25">
      <c r="E303" s="66">
        <v>42767</v>
      </c>
      <c r="F303" s="76">
        <f>+'2-REGISTRACIONES'!D$113</f>
        <v>389</v>
      </c>
      <c r="G303" s="3">
        <f t="shared" ref="G303:G312" si="61">+G289</f>
        <v>1.2</v>
      </c>
      <c r="H303" s="3">
        <f t="shared" ref="H303:H313" si="62">+F303*G303</f>
        <v>466.79999999999995</v>
      </c>
      <c r="L303" s="86"/>
      <c r="M303" s="85"/>
    </row>
    <row r="304" spans="5:13" x14ac:dyDescent="0.25">
      <c r="E304" s="66">
        <v>42795</v>
      </c>
      <c r="F304" s="76">
        <f>+'2-REGISTRACIONES'!E$113</f>
        <v>432</v>
      </c>
      <c r="G304" s="3">
        <f t="shared" si="61"/>
        <v>1.18</v>
      </c>
      <c r="H304" s="3">
        <f t="shared" si="62"/>
        <v>509.76</v>
      </c>
      <c r="L304" s="86"/>
      <c r="M304" s="85"/>
    </row>
    <row r="305" spans="5:13" x14ac:dyDescent="0.25">
      <c r="E305" s="66">
        <v>42826</v>
      </c>
      <c r="F305" s="76">
        <f>+'2-REGISTRACIONES'!F$113</f>
        <v>456</v>
      </c>
      <c r="G305" s="3">
        <f t="shared" si="61"/>
        <v>1.1499999999999999</v>
      </c>
      <c r="H305" s="3">
        <f t="shared" si="62"/>
        <v>524.4</v>
      </c>
      <c r="L305" s="86"/>
      <c r="M305" s="85"/>
    </row>
    <row r="306" spans="5:13" x14ac:dyDescent="0.25">
      <c r="E306" s="66">
        <v>42856</v>
      </c>
      <c r="F306" s="76">
        <f>+'2-REGISTRACIONES'!G$113</f>
        <v>459</v>
      </c>
      <c r="G306" s="3">
        <f t="shared" si="61"/>
        <v>1.1299999999999999</v>
      </c>
      <c r="H306" s="3">
        <f t="shared" si="62"/>
        <v>518.66999999999996</v>
      </c>
      <c r="L306" s="86"/>
      <c r="M306" s="85"/>
    </row>
    <row r="307" spans="5:13" x14ac:dyDescent="0.25">
      <c r="E307" s="66">
        <v>42887</v>
      </c>
      <c r="F307" s="76">
        <f>+'2-REGISTRACIONES'!H$113</f>
        <v>472</v>
      </c>
      <c r="G307" s="3">
        <f t="shared" si="61"/>
        <v>1.1200000000000001</v>
      </c>
      <c r="H307" s="3">
        <f t="shared" si="62"/>
        <v>528.6400000000001</v>
      </c>
      <c r="L307" s="86"/>
      <c r="M307" s="85"/>
    </row>
    <row r="308" spans="5:13" x14ac:dyDescent="0.25">
      <c r="E308" s="66">
        <v>42917</v>
      </c>
      <c r="F308" s="76">
        <f>+'2-REGISTRACIONES'!I$113</f>
        <v>475</v>
      </c>
      <c r="G308" s="3">
        <f t="shared" si="61"/>
        <v>1.1000000000000001</v>
      </c>
      <c r="H308" s="3">
        <f t="shared" si="62"/>
        <v>522.5</v>
      </c>
      <c r="L308" s="86"/>
      <c r="M308" s="85"/>
    </row>
    <row r="309" spans="5:13" x14ac:dyDescent="0.25">
      <c r="E309" s="66">
        <v>42948</v>
      </c>
      <c r="F309" s="76">
        <f>+'2-REGISTRACIONES'!J$113</f>
        <v>478</v>
      </c>
      <c r="G309" s="3">
        <f t="shared" si="61"/>
        <v>1.08</v>
      </c>
      <c r="H309" s="3">
        <f t="shared" si="62"/>
        <v>516.24</v>
      </c>
      <c r="L309" s="86"/>
      <c r="M309" s="85"/>
    </row>
    <row r="310" spans="5:13" x14ac:dyDescent="0.25">
      <c r="E310" s="66">
        <v>42979</v>
      </c>
      <c r="F310" s="76">
        <f>+'2-REGISTRACIONES'!K$113</f>
        <v>483</v>
      </c>
      <c r="G310" s="3">
        <f t="shared" si="61"/>
        <v>1.06</v>
      </c>
      <c r="H310" s="3">
        <f t="shared" si="62"/>
        <v>511.98</v>
      </c>
      <c r="L310" s="86"/>
      <c r="M310" s="85"/>
    </row>
    <row r="311" spans="5:13" x14ac:dyDescent="0.25">
      <c r="E311" s="66">
        <v>43009</v>
      </c>
      <c r="F311" s="76">
        <f>+'2-REGISTRACIONES'!L$113</f>
        <v>486</v>
      </c>
      <c r="G311" s="3">
        <f t="shared" si="61"/>
        <v>1.05</v>
      </c>
      <c r="H311" s="3">
        <f t="shared" si="62"/>
        <v>510.3</v>
      </c>
      <c r="L311" s="86"/>
      <c r="M311" s="85"/>
    </row>
    <row r="312" spans="5:13" x14ac:dyDescent="0.25">
      <c r="E312" s="66">
        <v>43040</v>
      </c>
      <c r="F312" s="76">
        <f>+'2-REGISTRACIONES'!M$113</f>
        <v>486</v>
      </c>
      <c r="G312" s="3">
        <f t="shared" si="61"/>
        <v>1.03</v>
      </c>
      <c r="H312" s="3">
        <f t="shared" si="62"/>
        <v>500.58000000000004</v>
      </c>
      <c r="L312" s="86"/>
      <c r="M312" s="85"/>
    </row>
    <row r="313" spans="5:13" x14ac:dyDescent="0.25">
      <c r="E313" s="65">
        <v>43070</v>
      </c>
      <c r="F313" s="76">
        <f>+'2-REGISTRACIONES'!N$113</f>
        <v>498</v>
      </c>
      <c r="G313" s="50">
        <v>1</v>
      </c>
      <c r="H313" s="3">
        <f t="shared" si="62"/>
        <v>498</v>
      </c>
      <c r="I313" s="61">
        <f>SUM(H302:H313)</f>
        <v>6045.7500000000009</v>
      </c>
      <c r="L313" s="86"/>
      <c r="M313" s="85"/>
    </row>
    <row r="314" spans="5:13" x14ac:dyDescent="0.25">
      <c r="F314" s="76">
        <f>SUM(F302:F313)</f>
        <v>5470</v>
      </c>
      <c r="H314" s="76">
        <f t="shared" ref="H314" si="63">SUM(H302:H313)</f>
        <v>6045.7500000000009</v>
      </c>
      <c r="L314" s="86" t="s">
        <v>249</v>
      </c>
      <c r="M314" s="60">
        <f>+H314-F314</f>
        <v>575.75000000000091</v>
      </c>
    </row>
    <row r="315" spans="5:13" x14ac:dyDescent="0.25">
      <c r="H315" s="76"/>
      <c r="L315" s="86"/>
      <c r="M315" s="60"/>
    </row>
    <row r="316" spans="5:13" x14ac:dyDescent="0.25">
      <c r="E316" s="115"/>
      <c r="F316" s="116"/>
      <c r="G316" s="116"/>
      <c r="H316" s="117"/>
      <c r="I316" s="117"/>
      <c r="J316" s="118"/>
    </row>
    <row r="317" spans="5:13" x14ac:dyDescent="0.25">
      <c r="E317" s="119"/>
      <c r="F317" s="287" t="s">
        <v>211</v>
      </c>
      <c r="G317" s="81"/>
      <c r="H317" s="50"/>
      <c r="I317" s="50"/>
      <c r="J317" s="121"/>
    </row>
    <row r="318" spans="5:13" x14ac:dyDescent="0.25">
      <c r="E318" s="122">
        <v>42705</v>
      </c>
      <c r="F318" s="81" t="s">
        <v>211</v>
      </c>
      <c r="G318" s="50">
        <f>+'2-REGISTRACIONES'!B$139</f>
        <v>246376</v>
      </c>
      <c r="H318" s="81">
        <f>+G86-1</f>
        <v>0.25</v>
      </c>
      <c r="I318" s="81">
        <f>-G318*H318</f>
        <v>-61594</v>
      </c>
      <c r="J318" s="121"/>
    </row>
    <row r="319" spans="5:13" x14ac:dyDescent="0.25">
      <c r="E319" s="122">
        <v>42736</v>
      </c>
      <c r="F319" s="81" t="s">
        <v>211</v>
      </c>
      <c r="G319" s="50">
        <f>+'2-REGISTRACIONES'!C$139</f>
        <v>-6619.29</v>
      </c>
      <c r="H319" s="81">
        <f>+G302-1</f>
        <v>0.22999999999999998</v>
      </c>
      <c r="I319" s="81">
        <f t="shared" ref="I319:I330" si="64">-G319*H319</f>
        <v>1522.4367</v>
      </c>
      <c r="J319" s="121"/>
    </row>
    <row r="320" spans="5:13" x14ac:dyDescent="0.25">
      <c r="E320" s="122">
        <v>42767</v>
      </c>
      <c r="F320" s="81" t="s">
        <v>211</v>
      </c>
      <c r="G320" s="50">
        <f>+'2-REGISTRACIONES'!D$139</f>
        <v>5159.8799999999846</v>
      </c>
      <c r="H320" s="81">
        <f t="shared" ref="H320:H329" si="65">+G303-1</f>
        <v>0.19999999999999996</v>
      </c>
      <c r="I320" s="81">
        <f t="shared" si="64"/>
        <v>-1031.9759999999967</v>
      </c>
      <c r="J320" s="121"/>
      <c r="M320" s="157">
        <f>SUM(M3:M315)</f>
        <v>-68109.356399999917</v>
      </c>
    </row>
    <row r="321" spans="5:10" x14ac:dyDescent="0.25">
      <c r="E321" s="122">
        <v>42795</v>
      </c>
      <c r="F321" s="81" t="s">
        <v>211</v>
      </c>
      <c r="G321" s="50">
        <f>+'2-REGISTRACIONES'!E$139</f>
        <v>-3648.5800000000049</v>
      </c>
      <c r="H321" s="81">
        <f t="shared" si="65"/>
        <v>0.17999999999999994</v>
      </c>
      <c r="I321" s="81">
        <f t="shared" si="64"/>
        <v>656.74440000000061</v>
      </c>
      <c r="J321" s="121"/>
    </row>
    <row r="322" spans="5:10" x14ac:dyDescent="0.25">
      <c r="E322" s="122">
        <v>42826</v>
      </c>
      <c r="F322" s="81" t="s">
        <v>211</v>
      </c>
      <c r="G322" s="50">
        <f>+'2-REGISTRACIONES'!F$139</f>
        <v>21355.079999999991</v>
      </c>
      <c r="H322" s="81">
        <f t="shared" si="65"/>
        <v>0.14999999999999991</v>
      </c>
      <c r="I322" s="81">
        <f t="shared" si="64"/>
        <v>-3203.2619999999965</v>
      </c>
      <c r="J322" s="121"/>
    </row>
    <row r="323" spans="5:10" x14ac:dyDescent="0.25">
      <c r="E323" s="122">
        <v>42856</v>
      </c>
      <c r="F323" s="81" t="s">
        <v>211</v>
      </c>
      <c r="G323" s="50">
        <f>+'2-REGISTRACIONES'!G$139</f>
        <v>50719.06</v>
      </c>
      <c r="H323" s="81">
        <f t="shared" si="65"/>
        <v>0.12999999999999989</v>
      </c>
      <c r="I323" s="81">
        <f t="shared" si="64"/>
        <v>-6593.4777999999942</v>
      </c>
      <c r="J323" s="121"/>
    </row>
    <row r="324" spans="5:10" x14ac:dyDescent="0.25">
      <c r="E324" s="122">
        <v>42887</v>
      </c>
      <c r="F324" s="81" t="s">
        <v>211</v>
      </c>
      <c r="G324" s="50">
        <f>+'2-REGISTRACIONES'!H$139</f>
        <v>8557.9500000000025</v>
      </c>
      <c r="H324" s="81">
        <f t="shared" si="65"/>
        <v>0.12000000000000011</v>
      </c>
      <c r="I324" s="81">
        <f t="shared" si="64"/>
        <v>-1026.9540000000013</v>
      </c>
      <c r="J324" s="121"/>
    </row>
    <row r="325" spans="5:10" x14ac:dyDescent="0.25">
      <c r="E325" s="122">
        <v>42917</v>
      </c>
      <c r="F325" s="81" t="s">
        <v>211</v>
      </c>
      <c r="G325" s="50">
        <f>+'2-REGISTRACIONES'!I$139</f>
        <v>56782.169999999984</v>
      </c>
      <c r="H325" s="81">
        <f t="shared" si="65"/>
        <v>0.10000000000000009</v>
      </c>
      <c r="I325" s="81">
        <f t="shared" si="64"/>
        <v>-5678.2170000000033</v>
      </c>
      <c r="J325" s="121"/>
    </row>
    <row r="326" spans="5:10" x14ac:dyDescent="0.25">
      <c r="E326" s="122">
        <v>42948</v>
      </c>
      <c r="F326" s="81" t="s">
        <v>211</v>
      </c>
      <c r="G326" s="50">
        <f>+'2-REGISTRACIONES'!J$139</f>
        <v>49707.140000000007</v>
      </c>
      <c r="H326" s="81">
        <f t="shared" si="65"/>
        <v>8.0000000000000071E-2</v>
      </c>
      <c r="I326" s="81">
        <f t="shared" si="64"/>
        <v>-3976.571200000004</v>
      </c>
      <c r="J326" s="121"/>
    </row>
    <row r="327" spans="5:10" x14ac:dyDescent="0.25">
      <c r="E327" s="122">
        <v>42979</v>
      </c>
      <c r="F327" s="81" t="s">
        <v>211</v>
      </c>
      <c r="G327" s="50">
        <f>+'2-REGISTRACIONES'!K$139</f>
        <v>40620.880000000005</v>
      </c>
      <c r="H327" s="81">
        <f t="shared" si="65"/>
        <v>6.0000000000000053E-2</v>
      </c>
      <c r="I327" s="81">
        <f t="shared" si="64"/>
        <v>-2437.2528000000025</v>
      </c>
      <c r="J327" s="121"/>
    </row>
    <row r="328" spans="5:10" x14ac:dyDescent="0.25">
      <c r="E328" s="122">
        <v>43009</v>
      </c>
      <c r="F328" s="81" t="s">
        <v>211</v>
      </c>
      <c r="G328" s="50">
        <f>+'2-REGISTRACIONES'!L$139</f>
        <v>46060.950000000012</v>
      </c>
      <c r="H328" s="81">
        <f t="shared" si="65"/>
        <v>5.0000000000000044E-2</v>
      </c>
      <c r="I328" s="81">
        <f t="shared" si="64"/>
        <v>-2303.0475000000024</v>
      </c>
      <c r="J328" s="121"/>
    </row>
    <row r="329" spans="5:10" x14ac:dyDescent="0.25">
      <c r="E329" s="122">
        <v>43040</v>
      </c>
      <c r="F329" s="81" t="s">
        <v>211</v>
      </c>
      <c r="G329" s="50">
        <f>+'2-REGISTRACIONES'!M$139</f>
        <v>-228056.23</v>
      </c>
      <c r="H329" s="81">
        <f t="shared" si="65"/>
        <v>3.0000000000000027E-2</v>
      </c>
      <c r="I329" s="81">
        <f t="shared" si="64"/>
        <v>6841.6869000000061</v>
      </c>
      <c r="J329" s="121"/>
    </row>
    <row r="330" spans="5:10" x14ac:dyDescent="0.25">
      <c r="E330" s="122">
        <v>43070</v>
      </c>
      <c r="F330" s="81" t="s">
        <v>211</v>
      </c>
      <c r="G330" s="50">
        <f>+'2-REGISTRACIONES'!N$139</f>
        <v>272142.30999999994</v>
      </c>
      <c r="H330" s="81">
        <v>0</v>
      </c>
      <c r="I330" s="81">
        <f t="shared" si="64"/>
        <v>0</v>
      </c>
      <c r="J330" s="121"/>
    </row>
    <row r="331" spans="5:10" x14ac:dyDescent="0.25">
      <c r="E331" s="119"/>
      <c r="F331" s="81" t="s">
        <v>9</v>
      </c>
      <c r="G331" s="120">
        <f>SUM(G318:G330)</f>
        <v>559157.31999999995</v>
      </c>
      <c r="H331" s="120"/>
      <c r="I331" s="120">
        <f>SUM(I318:I330)</f>
        <v>-78823.890299999999</v>
      </c>
      <c r="J331" s="121"/>
    </row>
    <row r="332" spans="5:10" x14ac:dyDescent="0.25">
      <c r="E332" s="119"/>
      <c r="F332" s="81"/>
      <c r="G332" s="285"/>
      <c r="H332" s="56"/>
      <c r="I332" s="56"/>
      <c r="J332" s="121"/>
    </row>
    <row r="333" spans="5:10" x14ac:dyDescent="0.25">
      <c r="E333" s="119"/>
      <c r="F333" s="287" t="s">
        <v>266</v>
      </c>
      <c r="G333" s="81"/>
      <c r="H333" s="50"/>
      <c r="I333" s="50"/>
      <c r="J333" s="121"/>
    </row>
    <row r="334" spans="5:10" x14ac:dyDescent="0.25">
      <c r="E334" s="122">
        <v>42736</v>
      </c>
      <c r="F334" s="123" t="s">
        <v>221</v>
      </c>
      <c r="G334" s="50">
        <f>+'2-REGISTRACIONES'!C$140</f>
        <v>-4253.1299999999983</v>
      </c>
      <c r="H334" s="81">
        <f>+H319</f>
        <v>0.22999999999999998</v>
      </c>
      <c r="I334" s="81">
        <f>-G334*H334</f>
        <v>978.21989999999948</v>
      </c>
      <c r="J334" s="124"/>
    </row>
    <row r="335" spans="5:10" x14ac:dyDescent="0.25">
      <c r="E335" s="122">
        <v>42767</v>
      </c>
      <c r="F335" s="123" t="s">
        <v>221</v>
      </c>
      <c r="G335" s="50">
        <f>+'2-REGISTRACIONES'!D$140</f>
        <v>-6182.82</v>
      </c>
      <c r="H335" s="81">
        <f t="shared" ref="H335:H344" si="66">+H320</f>
        <v>0.19999999999999996</v>
      </c>
      <c r="I335" s="81">
        <f t="shared" ref="I335:I345" si="67">-G335*H335</f>
        <v>1236.5639999999996</v>
      </c>
      <c r="J335" s="124"/>
    </row>
    <row r="336" spans="5:10" x14ac:dyDescent="0.25">
      <c r="E336" s="122">
        <v>42795</v>
      </c>
      <c r="F336" s="123" t="s">
        <v>221</v>
      </c>
      <c r="G336" s="50">
        <f>+'2-REGISTRACIONES'!E$140</f>
        <v>-4656.33</v>
      </c>
      <c r="H336" s="81">
        <f t="shared" si="66"/>
        <v>0.17999999999999994</v>
      </c>
      <c r="I336" s="81">
        <f t="shared" si="67"/>
        <v>838.13939999999968</v>
      </c>
      <c r="J336" s="124"/>
    </row>
    <row r="337" spans="5:10" x14ac:dyDescent="0.25">
      <c r="E337" s="122">
        <v>42826</v>
      </c>
      <c r="F337" s="123" t="s">
        <v>221</v>
      </c>
      <c r="G337" s="50">
        <f>+'2-REGISTRACIONES'!F$140</f>
        <v>-9211.0199999999986</v>
      </c>
      <c r="H337" s="81">
        <f t="shared" si="66"/>
        <v>0.14999999999999991</v>
      </c>
      <c r="I337" s="81">
        <f t="shared" si="67"/>
        <v>1381.6529999999989</v>
      </c>
      <c r="J337" s="124"/>
    </row>
    <row r="338" spans="5:10" x14ac:dyDescent="0.25">
      <c r="E338" s="122">
        <v>42856</v>
      </c>
      <c r="F338" s="123" t="s">
        <v>221</v>
      </c>
      <c r="G338" s="50">
        <f>+'2-REGISTRACIONES'!G$140</f>
        <v>-14235.060000000001</v>
      </c>
      <c r="H338" s="81">
        <f t="shared" si="66"/>
        <v>0.12999999999999989</v>
      </c>
      <c r="I338" s="81">
        <f t="shared" si="67"/>
        <v>1850.5577999999987</v>
      </c>
      <c r="J338" s="124"/>
    </row>
    <row r="339" spans="5:10" x14ac:dyDescent="0.25">
      <c r="E339" s="122">
        <v>42887</v>
      </c>
      <c r="F339" s="123" t="s">
        <v>221</v>
      </c>
      <c r="G339" s="50">
        <f>+'2-REGISTRACIONES'!H$140</f>
        <v>-9102.8700000000026</v>
      </c>
      <c r="H339" s="81">
        <f t="shared" si="66"/>
        <v>0.12000000000000011</v>
      </c>
      <c r="I339" s="81">
        <f t="shared" si="67"/>
        <v>1092.3444000000013</v>
      </c>
      <c r="J339" s="124"/>
    </row>
    <row r="340" spans="5:10" x14ac:dyDescent="0.25">
      <c r="E340" s="122">
        <v>42917</v>
      </c>
      <c r="F340" s="123" t="s">
        <v>221</v>
      </c>
      <c r="G340" s="50">
        <f>+'2-REGISTRACIONES'!I$140</f>
        <v>-15550.289999999997</v>
      </c>
      <c r="H340" s="81">
        <f t="shared" si="66"/>
        <v>0.10000000000000009</v>
      </c>
      <c r="I340" s="81">
        <f t="shared" si="67"/>
        <v>1555.0290000000011</v>
      </c>
      <c r="J340" s="124"/>
    </row>
    <row r="341" spans="5:10" x14ac:dyDescent="0.25">
      <c r="E341" s="122">
        <v>42948</v>
      </c>
      <c r="F341" s="123" t="s">
        <v>221</v>
      </c>
      <c r="G341" s="50">
        <f>+'2-REGISTRACIONES'!J$140</f>
        <v>-15017.939999999997</v>
      </c>
      <c r="H341" s="81">
        <f t="shared" si="66"/>
        <v>8.0000000000000071E-2</v>
      </c>
      <c r="I341" s="81">
        <f t="shared" si="67"/>
        <v>1201.4352000000008</v>
      </c>
      <c r="J341" s="124"/>
    </row>
    <row r="342" spans="5:10" x14ac:dyDescent="0.25">
      <c r="E342" s="122">
        <v>42979</v>
      </c>
      <c r="F342" s="123" t="s">
        <v>221</v>
      </c>
      <c r="G342" s="50">
        <f>+'2-REGISTRACIONES'!K$140</f>
        <v>-13478.219999999998</v>
      </c>
      <c r="H342" s="81">
        <f t="shared" si="66"/>
        <v>6.0000000000000053E-2</v>
      </c>
      <c r="I342" s="81">
        <f t="shared" si="67"/>
        <v>808.69320000000062</v>
      </c>
      <c r="J342" s="124"/>
    </row>
    <row r="343" spans="5:10" x14ac:dyDescent="0.25">
      <c r="E343" s="122">
        <v>43009</v>
      </c>
      <c r="F343" s="123" t="s">
        <v>221</v>
      </c>
      <c r="G343" s="50">
        <f>+'2-REGISTRACIONES'!L$140</f>
        <v>-14463.329999999996</v>
      </c>
      <c r="H343" s="81">
        <f t="shared" si="66"/>
        <v>5.0000000000000044E-2</v>
      </c>
      <c r="I343" s="81">
        <f t="shared" si="67"/>
        <v>723.1665000000005</v>
      </c>
      <c r="J343" s="124"/>
    </row>
    <row r="344" spans="5:10" x14ac:dyDescent="0.25">
      <c r="E344" s="122">
        <v>43040</v>
      </c>
      <c r="F344" s="123" t="s">
        <v>221</v>
      </c>
      <c r="G344" s="50">
        <f>+'2-REGISTRACIONES'!M$140</f>
        <v>-13327.859999999999</v>
      </c>
      <c r="H344" s="81">
        <f t="shared" si="66"/>
        <v>3.0000000000000027E-2</v>
      </c>
      <c r="I344" s="81">
        <f t="shared" si="67"/>
        <v>399.83580000000029</v>
      </c>
      <c r="J344" s="124"/>
    </row>
    <row r="345" spans="5:10" x14ac:dyDescent="0.25">
      <c r="E345" s="122">
        <v>43070</v>
      </c>
      <c r="F345" s="123" t="s">
        <v>221</v>
      </c>
      <c r="G345" s="50">
        <f>+'2-REGISTRACIONES'!N$140</f>
        <v>-16812.810000000001</v>
      </c>
      <c r="H345" s="81">
        <v>0</v>
      </c>
      <c r="I345" s="81">
        <f t="shared" si="67"/>
        <v>0</v>
      </c>
      <c r="J345" s="124"/>
    </row>
    <row r="346" spans="5:10" x14ac:dyDescent="0.25">
      <c r="E346" s="119"/>
      <c r="F346" s="38"/>
      <c r="G346" s="50">
        <f>SUM(G334:G345)</f>
        <v>-136291.68000000002</v>
      </c>
      <c r="H346" s="38"/>
      <c r="I346" s="84">
        <f>SUM(I334:I345)</f>
        <v>12065.638200000003</v>
      </c>
      <c r="J346" s="124"/>
    </row>
    <row r="347" spans="5:10" x14ac:dyDescent="0.25">
      <c r="E347" s="119"/>
      <c r="F347" s="81"/>
      <c r="G347" s="285"/>
      <c r="H347" s="56"/>
      <c r="I347" s="56"/>
      <c r="J347" s="121"/>
    </row>
    <row r="348" spans="5:10" x14ac:dyDescent="0.25">
      <c r="E348" s="119"/>
      <c r="F348" s="125" t="s">
        <v>268</v>
      </c>
      <c r="G348" s="81"/>
      <c r="H348" s="50"/>
      <c r="I348" s="50"/>
      <c r="J348" s="121"/>
    </row>
    <row r="349" spans="5:10" x14ac:dyDescent="0.25">
      <c r="E349" s="122">
        <v>43040</v>
      </c>
      <c r="F349" s="81" t="s">
        <v>267</v>
      </c>
      <c r="G349" s="81">
        <f>-'2-REGISTRACIONES'!M67</f>
        <v>45036.81</v>
      </c>
      <c r="H349" s="81">
        <f>+H344</f>
        <v>3.0000000000000027E-2</v>
      </c>
      <c r="I349" s="84">
        <f>-G349*H349</f>
        <v>-1351.1043000000011</v>
      </c>
      <c r="J349" s="121"/>
    </row>
    <row r="350" spans="5:10" x14ac:dyDescent="0.25">
      <c r="E350" s="119"/>
      <c r="F350" s="38"/>
      <c r="G350" s="56"/>
      <c r="H350" s="286"/>
      <c r="I350" s="286"/>
      <c r="J350" s="121"/>
    </row>
    <row r="351" spans="5:10" x14ac:dyDescent="0.25">
      <c r="E351" s="110"/>
      <c r="F351" s="111" t="s">
        <v>265</v>
      </c>
      <c r="G351" s="49"/>
      <c r="H351" s="112"/>
      <c r="I351" s="114">
        <f>+I331+I346+I349</f>
        <v>-68109.356400000004</v>
      </c>
      <c r="J351" s="113"/>
    </row>
    <row r="352" spans="5:10" x14ac:dyDescent="0.25">
      <c r="E352" s="119"/>
      <c r="F352" s="81"/>
      <c r="G352" s="81"/>
      <c r="H352" s="50"/>
      <c r="I352" s="56"/>
      <c r="J352" s="121"/>
    </row>
    <row r="353" spans="5:10" x14ac:dyDescent="0.25">
      <c r="E353" s="126"/>
      <c r="F353" s="79"/>
      <c r="G353" s="79"/>
      <c r="H353" s="67"/>
      <c r="I353" s="67"/>
      <c r="J353" s="127"/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scale="4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5</vt:i4>
      </vt:variant>
    </vt:vector>
  </HeadingPairs>
  <TitlesOfParts>
    <vt:vector size="21" baseType="lpstr">
      <vt:lpstr>1-COEF REALES</vt:lpstr>
      <vt:lpstr>2-REGISTRACIONES</vt:lpstr>
      <vt:lpstr>3-CMV HIST</vt:lpstr>
      <vt:lpstr>4-DETALLExMES</vt:lpstr>
      <vt:lpstr>RECPAM POS IVA</vt:lpstr>
      <vt:lpstr>NETO CAJA IVA</vt:lpstr>
      <vt:lpstr>NETO CAJA IVA 2</vt:lpstr>
      <vt:lpstr>NETO CAJA IVA 3</vt:lpstr>
      <vt:lpstr>5-BALANCES Y CALCULOS</vt:lpstr>
      <vt:lpstr>6-AJxINFL IMPOSITIVO</vt:lpstr>
      <vt:lpstr>7-CLASIFIC CTAS RDOS</vt:lpstr>
      <vt:lpstr>8-EVEGyD HIST</vt:lpstr>
      <vt:lpstr>9-EVEGyD AJUST</vt:lpstr>
      <vt:lpstr>10-EVEGyD IMPOSIT AJ</vt:lpstr>
      <vt:lpstr>11-COMPARATIVOx3</vt:lpstr>
      <vt:lpstr>12-GRAFICOSx3</vt:lpstr>
      <vt:lpstr>'10-EVEGyD IMPOSIT AJ'!Área_de_impresión</vt:lpstr>
      <vt:lpstr>'12-GRAFICOSx3'!Área_de_impresión</vt:lpstr>
      <vt:lpstr>'5-BALANCES Y CALCULOS'!Área_de_impresión</vt:lpstr>
      <vt:lpstr>'8-EVEGyD HIST'!Área_de_impresión</vt:lpstr>
      <vt:lpstr>'9-EVEGyD AJUST'!Área_de_impresión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Usuario</cp:lastModifiedBy>
  <cp:lastPrinted>2021-06-09T17:56:25Z</cp:lastPrinted>
  <dcterms:created xsi:type="dcterms:W3CDTF">2018-09-06T14:35:06Z</dcterms:created>
  <dcterms:modified xsi:type="dcterms:W3CDTF">2022-03-02T00:34:42Z</dcterms:modified>
</cp:coreProperties>
</file>